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72" documentId="8_{9E6415F2-E690-471E-A169-0FA454041E8F}" xr6:coauthVersionLast="47" xr6:coauthVersionMax="47" xr10:uidLastSave="{6676A717-0682-4B84-8146-127D86A9A7AB}"/>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4" i="50"/>
  <c r="B44" i="50" s="1"/>
  <c r="AD15" i="42"/>
  <c r="J5" i="55" a="1"/>
  <c r="J5" i="55" s="1"/>
  <c r="D7" i="55"/>
  <c r="G1" i="55"/>
  <c r="A45" i="50" l="1"/>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<sst xmlns="http://schemas.openxmlformats.org/spreadsheetml/2006/main" count="40401" uniqueCount="11188">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</sst>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1" sqref="T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f>D4</f>
        <v>0</v>
      </c>
      <c r="AM1" s="2" t="s">
        <v>32</v>
      </c>
      <c r="AN1" s="2">
        <f>D5</f>
        <v>0</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25">
      <c r="K3" s="118"/>
      <c r="L3" s="2"/>
      <c r="M3" s="176"/>
      <c r="N3" s="176"/>
      <c r="O3" s="176"/>
      <c r="P3" s="176"/>
      <c r="Q3" s="176"/>
      <c r="R3" s="4"/>
      <c r="S3" s="4"/>
      <c r="T3" s="4"/>
      <c r="U3" s="4"/>
      <c r="Z3" s="1"/>
      <c r="AA3" s="1"/>
      <c r="AB3" s="1"/>
      <c r="AC3" s="1"/>
      <c r="AN3" s="2"/>
      <c r="AR3" s="6">
        <v>2</v>
      </c>
      <c r="AS3" s="1" t="s">
        <v>59</v>
      </c>
    </row>
    <row r="4" spans="1:45" s="2" customFormat="1" ht="19.5" customHeight="1" x14ac:dyDescent="0.2">
      <c r="A4" s="9" t="s">
        <v>63</v>
      </c>
      <c r="B4" s="10"/>
      <c r="C4" s="12"/>
      <c r="D4" s="177"/>
      <c r="E4" s="178"/>
      <c r="F4" s="27" t="s">
        <v>65</v>
      </c>
      <c r="H4" s="90">
        <f>IF('3. Digitaal wedstrijdformulier'!$P$66="","",'3. Digitaal wedstrijdformulier'!$P$13)</f>
        <v>23</v>
      </c>
      <c r="I4" s="173">
        <f>IF('3. Digitaal wedstrijdformulier'!$M$66="","",'3. Digitaal wedstrijdformulier'!$M$13)</f>
        <v>129</v>
      </c>
      <c r="J4" s="173"/>
      <c r="K4" s="118"/>
      <c r="M4" s="119"/>
      <c r="N4" s="175"/>
      <c r="O4" s="175"/>
      <c r="P4" s="175"/>
      <c r="Q4" s="175"/>
      <c r="V4" s="47"/>
      <c r="W4" s="47"/>
      <c r="X4" s="47"/>
      <c r="Y4" s="47"/>
      <c r="Z4" s="47"/>
      <c r="AA4" s="47"/>
      <c r="AB4" s="48"/>
      <c r="AR4" s="3">
        <v>3</v>
      </c>
      <c r="AS4" s="1" t="s">
        <v>57</v>
      </c>
    </row>
    <row r="5" spans="1:45" s="2" customFormat="1" ht="19.5" customHeight="1" thickBot="1" x14ac:dyDescent="0.25">
      <c r="A5" s="9" t="s">
        <v>64</v>
      </c>
      <c r="B5" s="9"/>
      <c r="C5" s="12"/>
      <c r="D5" s="177"/>
      <c r="E5" s="178"/>
      <c r="F5" s="27" t="s">
        <v>66</v>
      </c>
      <c r="H5" s="90">
        <f>IF('3. Digitaal wedstrijdformulier'!$Q$66="","",'3. Digitaal wedstrijdformulier'!$Q$13)</f>
        <v>8</v>
      </c>
      <c r="I5" s="173">
        <f>IF('3. Digitaal wedstrijdformulier'!$N$66="","",'3. Digitaal wedstrijdformulier'!$N$13)</f>
        <v>89</v>
      </c>
      <c r="J5" s="173"/>
      <c r="K5" s="174"/>
      <c r="L5" s="174"/>
      <c r="M5" s="174"/>
      <c r="N5" s="175"/>
      <c r="O5" s="175"/>
      <c r="P5" s="175"/>
      <c r="Q5" s="17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79">
        <v>11</v>
      </c>
      <c r="E7" s="18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68">
        <v>45339</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
      <c r="A9" s="41" t="s">
        <v>5</v>
      </c>
      <c r="B9" s="13"/>
      <c r="C9" s="12"/>
      <c r="D9" s="170"/>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2" t="s">
        <v>9909</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2">
      <c r="H12" s="181" t="s">
        <v>9913</v>
      </c>
      <c r="I12" s="181"/>
      <c r="J12" s="181"/>
      <c r="K12" s="181"/>
      <c r="L12" s="181"/>
      <c r="M12" s="181"/>
      <c r="N12" s="8"/>
      <c r="O12" s="172" t="s">
        <v>9914</v>
      </c>
      <c r="P12" s="172"/>
      <c r="Q12" s="172"/>
      <c r="S12" s="181" t="s">
        <v>9915</v>
      </c>
      <c r="T12" s="181"/>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t="s">
        <v>11187</v>
      </c>
      <c r="I16" s="81"/>
      <c r="J16" s="81"/>
      <c r="K16" s="81"/>
      <c r="L16" s="81"/>
      <c r="M16" s="81"/>
      <c r="N16" s="34"/>
      <c r="O16" s="81" t="s">
        <v>11187</v>
      </c>
      <c r="P16" s="81"/>
      <c r="Q16" s="81"/>
      <c r="S16" s="81" t="s">
        <v>11187</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1340</v>
      </c>
      <c r="C17" s="52">
        <f>IF(B17="","",VLOOKUP(B17,Spelers!$A$1:$E$16764,2,FALSE))</f>
        <v>8002</v>
      </c>
      <c r="D17" s="52" t="str">
        <f>IF(B17="","",VLOOKUP(B17,Spelers!$A$1:$E$16764,3,FALSE))</f>
        <v>E.R.</v>
      </c>
      <c r="E17" s="52" t="str">
        <f>IF(B17="","",VLOOKUP(B17,Spelers!$A$1:$E$16764,4,FALSE))</f>
        <v>Telkamp</v>
      </c>
      <c r="F17" s="52" t="str">
        <f>IF(B17="","",VLOOKUP(B17,Spelers!$A$1:$E$16764,5,FALSE))</f>
        <v>M</v>
      </c>
      <c r="H17" s="81"/>
      <c r="I17" s="81"/>
      <c r="J17" s="81"/>
      <c r="K17" s="81"/>
      <c r="L17" s="81" t="s">
        <v>11187</v>
      </c>
      <c r="M17" s="81"/>
      <c r="N17" s="34"/>
      <c r="O17" s="81"/>
      <c r="P17" s="81" t="s">
        <v>11187</v>
      </c>
      <c r="Q17" s="81"/>
      <c r="S17" s="81" t="s">
        <v>11187</v>
      </c>
      <c r="T17" s="81"/>
      <c r="V17" s="5">
        <f t="shared" ref="V17:V24" si="3">IF(H17="x",1,0)</f>
        <v>0</v>
      </c>
      <c r="W17" s="5">
        <f t="shared" ref="W17:W24" si="4">IF(I17="x",1,0)</f>
        <v>0</v>
      </c>
      <c r="X17" s="5">
        <f t="shared" ref="X17:X24" si="5">IF(J17="x",1,0)</f>
        <v>0</v>
      </c>
      <c r="Y17" s="5">
        <f t="shared" si="1"/>
        <v>0</v>
      </c>
      <c r="Z17" s="5">
        <f t="shared" si="1"/>
        <v>1</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4.95" customHeight="1" x14ac:dyDescent="0.2">
      <c r="A18" s="154">
        <v>3</v>
      </c>
      <c r="B18" s="80">
        <v>21469</v>
      </c>
      <c r="C18" s="52">
        <f>IF(B18="","",VLOOKUP(B18,Spelers!$A$1:$E$16764,2,FALSE))</f>
        <v>8002</v>
      </c>
      <c r="D18" s="52" t="str">
        <f>IF(B18="","",VLOOKUP(B18,Spelers!$A$1:$E$16764,3,FALSE))</f>
        <v>D.</v>
      </c>
      <c r="E18" s="52" t="str">
        <f>IF(B18="","",VLOOKUP(B18,Spelers!$A$1:$E$16764,4,FALSE))</f>
        <v>Peterse</v>
      </c>
      <c r="F18" s="52" t="str">
        <f>IF(B18="","",VLOOKUP(B18,Spelers!$A$1:$E$16764,5,FALSE))</f>
        <v>M</v>
      </c>
      <c r="H18" s="81"/>
      <c r="I18" s="81"/>
      <c r="J18" s="81"/>
      <c r="K18" s="81"/>
      <c r="L18" s="81"/>
      <c r="M18" s="81" t="s">
        <v>11187</v>
      </c>
      <c r="N18" s="34"/>
      <c r="O18" s="81"/>
      <c r="P18" s="81"/>
      <c r="Q18" s="81" t="s">
        <v>11187</v>
      </c>
      <c r="S18" s="81" t="s">
        <v>11187</v>
      </c>
      <c r="T18" s="81"/>
      <c r="V18" s="5">
        <f t="shared" si="3"/>
        <v>0</v>
      </c>
      <c r="W18" s="5">
        <f t="shared" si="4"/>
        <v>0</v>
      </c>
      <c r="X18" s="5">
        <f t="shared" si="5"/>
        <v>0</v>
      </c>
      <c r="Y18" s="5">
        <f t="shared" si="1"/>
        <v>0</v>
      </c>
      <c r="Z18" s="5">
        <f t="shared" si="1"/>
        <v>0</v>
      </c>
      <c r="AA18" s="5">
        <f t="shared" si="1"/>
        <v>1</v>
      </c>
      <c r="AB18" s="5">
        <f t="shared" si="6"/>
        <v>0</v>
      </c>
      <c r="AC18" s="5">
        <f t="shared" si="2"/>
        <v>0</v>
      </c>
      <c r="AD18" s="5">
        <f t="shared" si="2"/>
        <v>1</v>
      </c>
      <c r="AE18" s="5">
        <f t="shared" si="7"/>
        <v>1</v>
      </c>
      <c r="AF18" s="5">
        <f t="shared" si="7"/>
        <v>0</v>
      </c>
      <c r="AR18" s="3"/>
    </row>
    <row r="19" spans="1:44" s="2" customFormat="1" ht="24.95" customHeight="1" x14ac:dyDescent="0.2">
      <c r="A19" s="154">
        <v>4</v>
      </c>
      <c r="B19" s="80">
        <v>27269</v>
      </c>
      <c r="C19" s="52">
        <f>IF(B19="","",VLOOKUP(B19,Spelers!$A$1:$E$16764,2,FALSE))</f>
        <v>8002</v>
      </c>
      <c r="D19" s="52" t="str">
        <f>IF(B19="","",VLOOKUP(B19,Spelers!$A$1:$E$16764,3,FALSE))</f>
        <v>B.</v>
      </c>
      <c r="E19" s="52" t="str">
        <f>IF(B19="","",VLOOKUP(B19,Spelers!$A$1:$E$16764,4,FALSE))</f>
        <v>Velthuijsen</v>
      </c>
      <c r="F19" s="52" t="str">
        <f>IF(B19="","",VLOOKUP(B19,Spelers!$A$1:$E$16764,5,FALSE))</f>
        <v>M</v>
      </c>
      <c r="H19" s="81"/>
      <c r="I19" s="81" t="s">
        <v>11187</v>
      </c>
      <c r="J19" s="81"/>
      <c r="K19" s="81"/>
      <c r="L19" s="81"/>
      <c r="M19" s="81"/>
      <c r="N19" s="34"/>
      <c r="O19" s="81" t="s">
        <v>11187</v>
      </c>
      <c r="P19" s="81"/>
      <c r="Q19" s="81"/>
      <c r="S19" s="81"/>
      <c r="T19" s="81" t="s">
        <v>11187</v>
      </c>
      <c r="V19" s="5">
        <f t="shared" si="3"/>
        <v>0</v>
      </c>
      <c r="W19" s="5">
        <f t="shared" si="4"/>
        <v>1</v>
      </c>
      <c r="X19" s="5">
        <f t="shared" si="5"/>
        <v>0</v>
      </c>
      <c r="Y19" s="5">
        <f t="shared" si="1"/>
        <v>0</v>
      </c>
      <c r="Z19" s="5">
        <f t="shared" si="1"/>
        <v>0</v>
      </c>
      <c r="AA19" s="5">
        <f t="shared" si="1"/>
        <v>0</v>
      </c>
      <c r="AB19" s="5">
        <f t="shared" si="6"/>
        <v>1</v>
      </c>
      <c r="AC19" s="5">
        <f t="shared" si="2"/>
        <v>0</v>
      </c>
      <c r="AD19" s="5">
        <f t="shared" si="2"/>
        <v>0</v>
      </c>
      <c r="AE19" s="5">
        <f t="shared" si="7"/>
        <v>0</v>
      </c>
      <c r="AF19" s="5">
        <f t="shared" si="7"/>
        <v>1</v>
      </c>
      <c r="AR19" s="3"/>
    </row>
    <row r="20" spans="1:44" s="2" customFormat="1" ht="24.95" customHeight="1" x14ac:dyDescent="0.2">
      <c r="A20" s="154">
        <v>5</v>
      </c>
      <c r="B20" s="80">
        <v>8139</v>
      </c>
      <c r="C20" s="52">
        <f>IF(B20="","",VLOOKUP(B20,Spelers!$A$1:$E$16764,2,FALSE))</f>
        <v>8002</v>
      </c>
      <c r="D20" s="52" t="str">
        <f>IF(B20="","",VLOOKUP(B20,Spelers!$A$1:$E$16764,3,FALSE))</f>
        <v>K.</v>
      </c>
      <c r="E20" s="52" t="str">
        <f>IF(B20="","",VLOOKUP(B20,Spelers!$A$1:$E$16764,4,FALSE))</f>
        <v>Elyazidi</v>
      </c>
      <c r="F20" s="52" t="str">
        <f>IF(B20="","",VLOOKUP(B20,Spelers!$A$1:$E$16764,5,FALSE))</f>
        <v>M</v>
      </c>
      <c r="H20" s="81"/>
      <c r="I20" s="81"/>
      <c r="J20" s="81" t="s">
        <v>11187</v>
      </c>
      <c r="K20" s="81"/>
      <c r="L20" s="81"/>
      <c r="M20" s="81"/>
      <c r="N20" s="34"/>
      <c r="O20" s="81"/>
      <c r="P20" s="81" t="s">
        <v>11187</v>
      </c>
      <c r="Q20" s="81"/>
      <c r="S20" s="81"/>
      <c r="T20" s="81" t="s">
        <v>11187</v>
      </c>
      <c r="V20" s="5">
        <f t="shared" si="3"/>
        <v>0</v>
      </c>
      <c r="W20" s="5">
        <f t="shared" si="4"/>
        <v>0</v>
      </c>
      <c r="X20" s="5">
        <f t="shared" si="5"/>
        <v>1</v>
      </c>
      <c r="Y20" s="5">
        <f t="shared" si="1"/>
        <v>0</v>
      </c>
      <c r="Z20" s="5">
        <f t="shared" si="1"/>
        <v>0</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17321</v>
      </c>
      <c r="C21" s="52">
        <f>IF(B21="","",VLOOKUP(B21,Spelers!$A$1:$E$16764,2,FALSE))</f>
        <v>8002</v>
      </c>
      <c r="D21" s="52" t="str">
        <f>IF(B21="","",VLOOKUP(B21,Spelers!$A$1:$E$16764,3,FALSE))</f>
        <v>M.</v>
      </c>
      <c r="E21" s="52" t="str">
        <f>IF(B21="","",VLOOKUP(B21,Spelers!$A$1:$E$16764,4,FALSE))</f>
        <v>Agzoul</v>
      </c>
      <c r="F21" s="52" t="str">
        <f>IF(B21="","",VLOOKUP(B21,Spelers!$A$1:$E$16764,5,FALSE))</f>
        <v>M</v>
      </c>
      <c r="H21" s="81"/>
      <c r="I21" s="81"/>
      <c r="J21" s="81"/>
      <c r="K21" s="81" t="s">
        <v>11187</v>
      </c>
      <c r="L21" s="81"/>
      <c r="M21" s="81"/>
      <c r="N21" s="34"/>
      <c r="O21" s="81"/>
      <c r="P21" s="81"/>
      <c r="Q21" s="81" t="s">
        <v>11187</v>
      </c>
      <c r="S21" s="81"/>
      <c r="T21" s="81" t="s">
        <v>11187</v>
      </c>
      <c r="V21" s="5">
        <f t="shared" si="3"/>
        <v>0</v>
      </c>
      <c r="W21" s="5">
        <f t="shared" si="4"/>
        <v>0</v>
      </c>
      <c r="X21" s="5">
        <f t="shared" si="5"/>
        <v>0</v>
      </c>
      <c r="Y21" s="5">
        <f t="shared" si="1"/>
        <v>1</v>
      </c>
      <c r="Z21" s="5">
        <f t="shared" si="1"/>
        <v>0</v>
      </c>
      <c r="AA21" s="5">
        <f t="shared" si="1"/>
        <v>0</v>
      </c>
      <c r="AB21" s="5">
        <f t="shared" si="6"/>
        <v>0</v>
      </c>
      <c r="AC21" s="5">
        <f t="shared" si="2"/>
        <v>0</v>
      </c>
      <c r="AD21" s="5">
        <f t="shared" si="2"/>
        <v>1</v>
      </c>
      <c r="AE21" s="5">
        <f t="shared" si="7"/>
        <v>0</v>
      </c>
      <c r="AF21" s="5">
        <f t="shared" si="7"/>
        <v>1</v>
      </c>
      <c r="AR21" s="3"/>
    </row>
    <row r="22" spans="1:44" s="2" customFormat="1" ht="24.95" customHeight="1" x14ac:dyDescent="0.2">
      <c r="A22" s="154">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
      </c>
      <c r="E5" s="44"/>
      <c r="G5" s="187"/>
      <c r="H5" s="187"/>
      <c r="I5" s="187" t="str">
        <f>CONCATENATE(I1,"-",J1)</f>
        <v>-</v>
      </c>
      <c r="J5" s="187"/>
    </row>
    <row r="6" spans="1:16" x14ac:dyDescent="0.2">
      <c r="A6" s="44" t="s">
        <v>5</v>
      </c>
      <c r="C6" s="94"/>
      <c r="D6" s="44" t="str">
        <f>IF('1a. Teamformulier  Thuis'!$D$9="","",'1a. Teamformulier  Thuis'!$D$9)</f>
        <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45421</v>
      </c>
      <c r="C10" s="36">
        <f>IF(F10="","",VLOOKUP(B10,'1a. Teamformulier  Thuis'!$B$16:$C$24,2,FALSE))</f>
        <v>8002</v>
      </c>
      <c r="D10" s="36" t="str">
        <f>IF(B10="","",VLOOKUP(A10,'1a. Teamformulier  Thuis'!$A$16:$F$24,4,FALSE))</f>
        <v>E.</v>
      </c>
      <c r="E10" s="36" t="str">
        <f>IF(D10="","",VLOOKUP(A10,'1a. Teamformulier  Thuis'!$A$16:$F$24,5,FALSE))</f>
        <v>van der Linden</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4</v>
      </c>
      <c r="B12" s="36">
        <f>IF(A12="","",VLOOKUP(A12,'1a. Teamformulier  Thuis'!$A$16:$F$24,2,FALSE))</f>
        <v>27269</v>
      </c>
      <c r="C12" s="36">
        <f>IF(F12="","",VLOOKUP(B12,'1a. Teamformulier  Thuis'!$B$16:$C$24,2,FALSE))</f>
        <v>8002</v>
      </c>
      <c r="D12" s="36" t="str">
        <f>IF(B12="","",VLOOKUP(A12,'1a. Teamformulier  Thuis'!$A$16:$F$24,4,FALSE))</f>
        <v>B.</v>
      </c>
      <c r="E12" s="36" t="str">
        <f>IF(D12="","",VLOOKUP(A12,'1a. Teamformulier  Thuis'!$A$16:$F$24,5,FALSE))</f>
        <v>Velthuijsen</v>
      </c>
      <c r="F12" s="138" t="str">
        <f>IF(E12="","",VLOOKUP(A12,'1a. Teamformulier  Thuis'!$A$16:$F$24,6,FALSE))</f>
        <v>M</v>
      </c>
    </row>
    <row r="13" spans="1:16" x14ac:dyDescent="0.2">
      <c r="A13" s="32" t="s">
        <v>9918</v>
      </c>
      <c r="B13" s="19"/>
      <c r="C13" s="19"/>
      <c r="D13" s="19"/>
      <c r="E13" s="14"/>
    </row>
    <row r="14" spans="1:16" ht="20.100000000000001" customHeight="1" x14ac:dyDescent="0.2">
      <c r="A14" s="35">
        <f>IF('1a. Teamformulier  Thuis'!X15&gt;0,SMALL('Berekening Opstelling Thuis'!D4:D12,1),"")</f>
        <v>5</v>
      </c>
      <c r="B14" s="36">
        <f>IF(A14="","",VLOOKUP(A14,'1a. Teamformulier  Thuis'!$A$16:$F$24,2,FALSE))</f>
        <v>8139</v>
      </c>
      <c r="C14" s="36">
        <f>IF(F14="","",VLOOKUP(B14,'1a. Teamformulier  Thuis'!$B$16:$C$24,2,FALSE))</f>
        <v>8002</v>
      </c>
      <c r="D14" s="36" t="str">
        <f>IF(B14="","",VLOOKUP(A14,'1a. Teamformulier  Thuis'!$A$16:$F$24,4,FALSE))</f>
        <v>K.</v>
      </c>
      <c r="E14" s="36" t="str">
        <f>IF(D14="","",VLOOKUP(A14,'1a. Teamformulier  Thuis'!$A$16:$F$24,5,FALSE))</f>
        <v>Elyazidi</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6</v>
      </c>
      <c r="B16" s="36">
        <f>IF(A16="","",VLOOKUP(A16,'1a. Teamformulier  Thuis'!$A$16:$F$24,2,FALSE))</f>
        <v>17321</v>
      </c>
      <c r="C16" s="36">
        <f>IF(F16="","",VLOOKUP(B16,'1a. Teamformulier  Thuis'!$B$16:$C$24,2,FALSE))</f>
        <v>8002</v>
      </c>
      <c r="D16" s="36" t="str">
        <f>IF(B16="","",VLOOKUP(A16,'1a. Teamformulier  Thuis'!$A$16:$F$24,4,FALSE))</f>
        <v>M.</v>
      </c>
      <c r="E16" s="36" t="str">
        <f>IF(D16="","",VLOOKUP(A16,'1a. Teamformulier  Thuis'!$A$16:$F$24,5,FALSE))</f>
        <v>Agzoul</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2</v>
      </c>
      <c r="B18" s="36">
        <f>IF(A18="","",VLOOKUP(A18,'1a. Teamformulier  Thuis'!$A$16:$F$24,2,FALSE))</f>
        <v>1340</v>
      </c>
      <c r="C18" s="36">
        <f>IF(F18="","",VLOOKUP(B18,'1a. Teamformulier  Thuis'!$B$16:$C$24,2,FALSE))</f>
        <v>8002</v>
      </c>
      <c r="D18" s="36" t="str">
        <f>IF(B18="","",VLOOKUP(A18,'1a. Teamformulier  Thuis'!$A$16:$F$24,4,FALSE))</f>
        <v>E.R.</v>
      </c>
      <c r="E18" s="36" t="str">
        <f>IF(D18="","",VLOOKUP(A18,'1a. Teamformulier  Thuis'!$A$16:$F$24,5,FALSE))</f>
        <v>Telkamp</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3</v>
      </c>
      <c r="B20" s="36">
        <f>IF(A20="","",VLOOKUP(A20,'1a. Teamformulier  Thuis'!$A$16:$F$24,2,FALSE))</f>
        <v>21469</v>
      </c>
      <c r="C20" s="36">
        <f>IF(F20="","",VLOOKUP(B20,'1a. Teamformulier  Thuis'!$B$16:$C$24,2,FALSE))</f>
        <v>8002</v>
      </c>
      <c r="D20" s="36" t="str">
        <f>IF(B20="","",VLOOKUP(A20,'1a. Teamformulier  Thuis'!$A$16:$F$24,4,FALSE))</f>
        <v>D.</v>
      </c>
      <c r="E20" s="36" t="str">
        <f>IF(D20="","",VLOOKUP(A20,'1a. Teamformulier  Thuis'!$A$16:$F$24,5,FALSE))</f>
        <v>Peterse</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45339</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45421</v>
      </c>
      <c r="C28" s="36">
        <f>IF(F28="","",VLOOKUP(B28,'1a. Teamformulier  Thuis'!$B$16:$C$24,2,FALSE))</f>
        <v>8002</v>
      </c>
      <c r="D28" s="36" t="str">
        <f>IF(B28="","",VLOOKUP(A28,'1a. Teamformulier  Thuis'!$A$16:$F$24,4,FALSE))</f>
        <v>E.</v>
      </c>
      <c r="E28" s="36" t="str">
        <f>IF(D28="","",VLOOKUP(A28,'1a. Teamformulier  Thuis'!$A$16:$F$24,5,FALSE))</f>
        <v>van der Linden</v>
      </c>
      <c r="F28" s="138" t="str">
        <f>IF(E28="","",VLOOKUP(A28,'1a. Teamformulier  Thuis'!$A$16:$F$24,6,FALSE))</f>
        <v>V</v>
      </c>
    </row>
    <row r="29" spans="1:7" ht="20.100000000000001" customHeight="1" x14ac:dyDescent="0.2">
      <c r="A29" s="35">
        <f>IF('1a. Teamformulier  Thuis'!$AB$15&gt;0,LARGE('Berekening Opstelling Thuis'!$I$4:$I$12,1),"")</f>
        <v>4</v>
      </c>
      <c r="B29" s="36">
        <f>IF(A29="","",VLOOKUP(A29,'1a. Teamformulier  Thuis'!$A$16:$F$24,2,FALSE))</f>
        <v>27269</v>
      </c>
      <c r="C29" s="36">
        <f>IF(F29="","",VLOOKUP(B29,'1a. Teamformulier  Thuis'!$B$16:$C$24,2,FALSE))</f>
        <v>8002</v>
      </c>
      <c r="D29" s="36" t="str">
        <f>IF(B29="","",VLOOKUP(A29,'1a. Teamformulier  Thuis'!$A$16:$F$24,4,FALSE))</f>
        <v>B.</v>
      </c>
      <c r="E29" s="36" t="str">
        <f>IF(D29="","",VLOOKUP(A29,'1a. Teamformulier  Thuis'!$A$16:$F$24,5,FALSE))</f>
        <v>Velthuijsen</v>
      </c>
      <c r="F29" s="138" t="str">
        <f>IF(E29="","",VLOOKUP(A29,'1a. Teamformulier  Thuis'!$A$16:$F$24,6,FALSE))</f>
        <v>M</v>
      </c>
    </row>
    <row r="30" spans="1:7" x14ac:dyDescent="0.2">
      <c r="A30" s="29" t="s">
        <v>9923</v>
      </c>
      <c r="B30" s="19"/>
      <c r="C30" s="19"/>
      <c r="D30" s="19"/>
      <c r="E30" s="14"/>
    </row>
    <row r="31" spans="1:7" ht="20.100000000000001" customHeight="1" x14ac:dyDescent="0.2">
      <c r="A31" s="35">
        <f>IF('1a. Teamformulier  Thuis'!$AC$15&gt;0,SMALL('Berekening Opstelling Thuis'!$J$4:$J$12,1),"")</f>
        <v>2</v>
      </c>
      <c r="B31" s="36">
        <f>IF(A31="","",VLOOKUP(A31,'1a. Teamformulier  Thuis'!$A$16:$F$24,2,FALSE))</f>
        <v>1340</v>
      </c>
      <c r="C31" s="36">
        <f>IF(F31="","",VLOOKUP(B31,'1a. Teamformulier  Thuis'!$B$16:$C$24,2,FALSE))</f>
        <v>8002</v>
      </c>
      <c r="D31" s="36" t="str">
        <f>IF(B31="","",VLOOKUP(A31,'1a. Teamformulier  Thuis'!$A$16:$F$24,4,FALSE))</f>
        <v>E.R.</v>
      </c>
      <c r="E31" s="36" t="str">
        <f>IF(D31="","",VLOOKUP(A31,'1a. Teamformulier  Thuis'!$A$16:$F$24,5,FALSE))</f>
        <v>Telkamp</v>
      </c>
      <c r="F31" s="138" t="str">
        <f>IF(E31="","",VLOOKUP(A31,'1a. Teamformulier  Thuis'!$A$16:$F$24,6,FALSE))</f>
        <v>M</v>
      </c>
    </row>
    <row r="32" spans="1:7" ht="20.100000000000001" customHeight="1" x14ac:dyDescent="0.2">
      <c r="A32" s="35">
        <f>IF('1a. Teamformulier  Thuis'!$AC$15&gt;0,LARGE('Berekening Opstelling Thuis'!$J$4:$J$12,1),"")</f>
        <v>5</v>
      </c>
      <c r="B32" s="36">
        <f>IF(A32="","",VLOOKUP(A32,'1a. Teamformulier  Thuis'!$A$16:$F$24,2,FALSE))</f>
        <v>8139</v>
      </c>
      <c r="C32" s="36">
        <f>IF(F32="","",VLOOKUP(B32,'1a. Teamformulier  Thuis'!$B$16:$C$24,2,FALSE))</f>
        <v>8002</v>
      </c>
      <c r="D32" s="36" t="str">
        <f>IF(B32="","",VLOOKUP(A32,'1a. Teamformulier  Thuis'!$A$16:$F$24,4,FALSE))</f>
        <v>K.</v>
      </c>
      <c r="E32" s="36" t="str">
        <f>IF(D32="","",VLOOKUP(A32,'1a. Teamformulier  Thuis'!$A$16:$F$24,5,FALSE))</f>
        <v>Elyazidi</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3</v>
      </c>
      <c r="B34" s="36">
        <f>IF(A34="","",VLOOKUP(A34,'1a. Teamformulier  Thuis'!$A$16:$F$24,2,FALSE))</f>
        <v>21469</v>
      </c>
      <c r="C34" s="36">
        <f>IF(F34="","",VLOOKUP(B34,'1a. Teamformulier  Thuis'!$B$16:$C$24,2,FALSE))</f>
        <v>8002</v>
      </c>
      <c r="D34" s="36" t="str">
        <f>IF(B34="","",VLOOKUP(A34,'1a. Teamformulier  Thuis'!$A$16:$F$24,4,FALSE))</f>
        <v>D.</v>
      </c>
      <c r="E34" s="36" t="str">
        <f>IF(D34="","",VLOOKUP(A34,'1a. Teamformulier  Thuis'!$A$16:$F$24,5,FALSE))</f>
        <v>Peterse</v>
      </c>
      <c r="F34" s="138" t="str">
        <f>IF(E34="","",VLOOKUP(A34,'1a. Teamformulier  Thuis'!$A$16:$F$24,6,FALSE))</f>
        <v>M</v>
      </c>
    </row>
    <row r="35" spans="1:7" ht="20.100000000000001" customHeight="1" x14ac:dyDescent="0.2">
      <c r="A35" s="35">
        <f>IF('1a. Teamformulier  Thuis'!$AD$15&gt;0,LARGE('Berekening Opstelling Thuis'!$K$4:$K$12,1),"")</f>
        <v>6</v>
      </c>
      <c r="B35" s="36">
        <f>IF(A35="","",VLOOKUP(A35,'1a. Teamformulier  Thuis'!$A$16:$F$24,2,FALSE))</f>
        <v>17321</v>
      </c>
      <c r="C35" s="36">
        <f>IF(F35="","",VLOOKUP(B35,'1a. Teamformulier  Thuis'!$B$16:$C$24,2,FALSE))</f>
        <v>8002</v>
      </c>
      <c r="D35" s="36" t="str">
        <f>IF(B35="","",VLOOKUP(A35,'1a. Teamformulier  Thuis'!$A$16:$F$24,4,FALSE))</f>
        <v>M.</v>
      </c>
      <c r="E35" s="36" t="str">
        <f>IF(D35="","",VLOOKUP(A35,'1a. Teamformulier  Thuis'!$A$16:$F$24,5,FALSE))</f>
        <v>Agzoul</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45339</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45421</v>
      </c>
      <c r="C43" s="36">
        <f>IF(F43="","",VLOOKUP(B43,'1a. Teamformulier  Thuis'!$B$16:$C$24,2,FALSE))</f>
        <v>8002</v>
      </c>
      <c r="D43" s="36" t="str">
        <f>IF(B43="","",VLOOKUP(A43,'1a. Teamformulier  Thuis'!$A$16:$F$24,4,FALSE))</f>
        <v>E.</v>
      </c>
      <c r="E43" s="36" t="str">
        <f>IF(D43="","",VLOOKUP(A43,'1a. Teamformulier  Thuis'!$A$16:$F$24,5,FALSE))</f>
        <v>van der Linden</v>
      </c>
      <c r="F43" s="138" t="str">
        <f>IF(E43="","",VLOOKUP(A43,'1a. Teamformulier  Thuis'!$A$16:$F$24,6,FALSE))</f>
        <v>V</v>
      </c>
    </row>
    <row r="44" spans="1:7" ht="20.100000000000001" customHeight="1" x14ac:dyDescent="0.2">
      <c r="A44" s="35">
        <f>IF('1a. Teamformulier  Thuis'!AE15&gt;0,SMALL('Berekening Opstelling Thuis'!M4:M12,2),"")</f>
        <v>2</v>
      </c>
      <c r="B44" s="36">
        <f>IF(A44="","",VLOOKUP(A44,'1a. Teamformulier  Thuis'!$A$16:$F$24,2,FALSE))</f>
        <v>1340</v>
      </c>
      <c r="C44" s="36">
        <f>IF(F44="","",VLOOKUP(B44,'1a. Teamformulier  Thuis'!$B$16:$C$24,2,FALSE))</f>
        <v>8002</v>
      </c>
      <c r="D44" s="36" t="str">
        <f>IF(B44="","",VLOOKUP(A44,'1a. Teamformulier  Thuis'!$A$16:$F$24,4,FALSE))</f>
        <v>E.R.</v>
      </c>
      <c r="E44" s="36" t="str">
        <f>IF(D44="","",VLOOKUP(A44,'1a. Teamformulier  Thuis'!$A$16:$F$24,5,FALSE))</f>
        <v>Telkamp</v>
      </c>
      <c r="F44" s="138" t="str">
        <f>IF(E44="","",VLOOKUP(A44,'1a. Teamformulier  Thuis'!$A$16:$F$24,6,FALSE))</f>
        <v>M</v>
      </c>
    </row>
    <row r="45" spans="1:7" ht="20.100000000000001" customHeight="1" x14ac:dyDescent="0.2">
      <c r="A45" s="35">
        <f>IF('1a. Teamformulier  Thuis'!AE15&gt;0,LARGE('Berekening Opstelling Thuis'!M4:M12,1),"")</f>
        <v>3</v>
      </c>
      <c r="B45" s="36">
        <f>IF(A45="","",VLOOKUP(A45,'1a. Teamformulier  Thuis'!$A$16:$F$24,2,FALSE))</f>
        <v>21469</v>
      </c>
      <c r="C45" s="36">
        <f>IF(F45="","",VLOOKUP(B45,'1a. Teamformulier  Thuis'!$B$16:$C$24,2,FALSE))</f>
        <v>8002</v>
      </c>
      <c r="D45" s="36" t="str">
        <f>IF(B45="","",VLOOKUP(A45,'1a. Teamformulier  Thuis'!$A$16:$F$24,4,FALSE))</f>
        <v>D.</v>
      </c>
      <c r="E45" s="36" t="str">
        <f>IF(D45="","",VLOOKUP(A45,'1a. Teamformulier  Thuis'!$A$16:$F$24,5,FALSE))</f>
        <v>Peterse</v>
      </c>
      <c r="F45" s="138" t="str">
        <f>IF(E45="","",VLOOKUP(A45,'1a. Teamformulier  Thuis'!$A$16:$F$24,6,FALSE))</f>
        <v>M</v>
      </c>
    </row>
    <row r="46" spans="1:7" x14ac:dyDescent="0.2">
      <c r="A46" s="29" t="s">
        <v>9926</v>
      </c>
      <c r="B46" s="19"/>
      <c r="C46" s="19"/>
      <c r="D46" s="19"/>
      <c r="E46" s="14"/>
    </row>
    <row r="47" spans="1:7" ht="20.100000000000001" customHeight="1" x14ac:dyDescent="0.2">
      <c r="A47" s="35">
        <f>IF('1a. Teamformulier  Thuis'!AF15&gt;0,SMALL('Berekening Opstelling Thuis'!N4:N12,1),"")</f>
        <v>4</v>
      </c>
      <c r="B47" s="36">
        <f>IF(A47="","",VLOOKUP(A47,'1a. Teamformulier  Thuis'!$A$16:$F$24,2,FALSE))</f>
        <v>27269</v>
      </c>
      <c r="C47" s="36">
        <f>IF(F47="","",VLOOKUP(B47,'1a. Teamformulier  Thuis'!$B$16:$C$24,2,FALSE))</f>
        <v>8002</v>
      </c>
      <c r="D47" s="36" t="str">
        <f>IF(B47="","",VLOOKUP(A47,'1a. Teamformulier  Thuis'!$A$16:$F$24,4,FALSE))</f>
        <v>B.</v>
      </c>
      <c r="E47" s="36" t="str">
        <f>IF(D47="","",VLOOKUP(A47,'1a. Teamformulier  Thuis'!$A$16:$F$24,5,FALSE))</f>
        <v>Velthuijsen</v>
      </c>
      <c r="F47" s="138" t="str">
        <f>IF(E47="","",VLOOKUP(A47,'1a. Teamformulier  Thuis'!$A$16:$F$24,6,FALSE))</f>
        <v>M</v>
      </c>
    </row>
    <row r="48" spans="1:7" ht="20.100000000000001" customHeight="1" x14ac:dyDescent="0.2">
      <c r="A48" s="35">
        <f>IF('1a. Teamformulier  Thuis'!AF15&gt;0,SMALL('Berekening Opstelling Thuis'!N4:N12,2),"")</f>
        <v>5</v>
      </c>
      <c r="B48" s="36">
        <f>IF(A48="","",VLOOKUP(A48,'1a. Teamformulier  Thuis'!$A$16:$F$24,2,FALSE))</f>
        <v>8139</v>
      </c>
      <c r="C48" s="36">
        <f>IF(F48="","",VLOOKUP(B48,'1a. Teamformulier  Thuis'!$B$16:$C$24,2,FALSE))</f>
        <v>8002</v>
      </c>
      <c r="D48" s="36" t="str">
        <f>IF(B48="","",VLOOKUP(A48,'1a. Teamformulier  Thuis'!$A$16:$F$24,4,FALSE))</f>
        <v>K.</v>
      </c>
      <c r="E48" s="36" t="str">
        <f>IF(D48="","",VLOOKUP(A48,'1a. Teamformulier  Thuis'!$A$16:$F$24,5,FALSE))</f>
        <v>Elyazidi</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17321</v>
      </c>
      <c r="C49" s="36">
        <f>IF(F49="","",VLOOKUP(B49,'1a. Teamformulier  Thuis'!$B$16:$C$24,2,FALSE))</f>
        <v>8002</v>
      </c>
      <c r="D49" s="36" t="str">
        <f>IF(B49="","",VLOOKUP(A49,'1a. Teamformulier  Thuis'!$A$16:$F$24,4,FALSE))</f>
        <v>M.</v>
      </c>
      <c r="E49" s="36" t="str">
        <f>IF(D49="","",VLOOKUP(A49,'1a. Teamformulier  Thuis'!$A$16:$F$24,5,FALSE))</f>
        <v>Agzoul</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2" sqref="T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
      </c>
      <c r="AM1" s="2" t="s">
        <v>32</v>
      </c>
      <c r="AN1" s="2" t="str">
        <f>D5</f>
        <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 xml:space="preserve"> - </v>
      </c>
      <c r="AR2" s="3">
        <v>1</v>
      </c>
      <c r="AS2" s="2" t="s">
        <v>62</v>
      </c>
    </row>
    <row r="3" spans="1:45" ht="19.5" customHeight="1" thickBot="1" x14ac:dyDescent="0.25">
      <c r="K3" s="118"/>
      <c r="L3" s="2"/>
      <c r="M3" s="176"/>
      <c r="N3" s="176"/>
      <c r="O3" s="176"/>
      <c r="P3" s="176"/>
      <c r="Q3" s="176"/>
      <c r="R3" s="4"/>
      <c r="S3" s="4"/>
      <c r="T3" s="4"/>
      <c r="U3" s="4"/>
      <c r="Z3" s="1"/>
      <c r="AA3" s="1"/>
      <c r="AB3" s="1"/>
      <c r="AC3" s="1"/>
      <c r="AN3" s="2"/>
      <c r="AR3" s="6">
        <v>2</v>
      </c>
      <c r="AS3" s="1" t="s">
        <v>59</v>
      </c>
    </row>
    <row r="4" spans="1:45" s="2" customFormat="1" ht="19.5" customHeight="1" x14ac:dyDescent="0.2">
      <c r="A4" s="9" t="s">
        <v>63</v>
      </c>
      <c r="B4" s="10"/>
      <c r="C4" s="12"/>
      <c r="D4" s="177" t="str">
        <f>IF('1a. Teamformulier  Thuis'!D4="","",'1a. Teamformulier  Thuis'!D4)</f>
        <v/>
      </c>
      <c r="E4" s="178"/>
      <c r="F4" s="27" t="s">
        <v>65</v>
      </c>
      <c r="H4" s="90">
        <f>IF('3. Digitaal wedstrijdformulier'!$P$66="","",'3. Digitaal wedstrijdformulier'!$P$13)</f>
        <v>23</v>
      </c>
      <c r="I4" s="173">
        <f>IF('3. Digitaal wedstrijdformulier'!$M$66="","",'3. Digitaal wedstrijdformulier'!$M$13)</f>
        <v>129</v>
      </c>
      <c r="J4" s="173"/>
      <c r="K4" s="118"/>
      <c r="M4" s="119"/>
      <c r="N4" s="175"/>
      <c r="O4" s="175"/>
      <c r="P4" s="175"/>
      <c r="Q4" s="175"/>
      <c r="V4" s="47"/>
      <c r="W4" s="47"/>
      <c r="X4" s="47"/>
      <c r="Y4" s="47"/>
      <c r="Z4" s="47"/>
      <c r="AA4" s="47"/>
      <c r="AB4" s="48"/>
      <c r="AR4" s="3">
        <v>3</v>
      </c>
      <c r="AS4" s="1" t="s">
        <v>57</v>
      </c>
    </row>
    <row r="5" spans="1:45" s="2" customFormat="1" ht="19.5" customHeight="1" thickBot="1" x14ac:dyDescent="0.25">
      <c r="A5" s="9" t="s">
        <v>64</v>
      </c>
      <c r="B5" s="9"/>
      <c r="C5" s="12"/>
      <c r="D5" s="177" t="str">
        <f>IF('1a. Teamformulier  Thuis'!D5="","",'1a. Teamformulier  Thuis'!D5)</f>
        <v/>
      </c>
      <c r="E5" s="178"/>
      <c r="F5" s="27" t="s">
        <v>66</v>
      </c>
      <c r="H5" s="90">
        <f>IF('3. Digitaal wedstrijdformulier'!$Q$66="","",'3. Digitaal wedstrijdformulier'!$Q$13)</f>
        <v>8</v>
      </c>
      <c r="I5" s="173">
        <f>IF('3. Digitaal wedstrijdformulier'!$N$66="","",'3. Digitaal wedstrijdformulier'!$N$13)</f>
        <v>89</v>
      </c>
      <c r="J5" s="173"/>
      <c r="K5" s="174"/>
      <c r="L5" s="174"/>
      <c r="M5" s="174"/>
      <c r="N5" s="175"/>
      <c r="O5" s="175"/>
      <c r="P5" s="175"/>
      <c r="Q5" s="175"/>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79">
        <f>IF('1a. Teamformulier  Thuis'!D7="","",'1a. Teamformulier  Thuis'!D7)</f>
        <v>11</v>
      </c>
      <c r="E7" s="180"/>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68">
        <f>IF('1a. Teamformulier  Thuis'!D8="","",'1a. Teamformulier  Thuis'!D8)</f>
        <v>45339</v>
      </c>
      <c r="E8" s="169"/>
      <c r="F8" s="27"/>
      <c r="H8" s="3"/>
      <c r="I8" s="3"/>
      <c r="J8" s="3"/>
      <c r="K8" s="3"/>
      <c r="L8" s="3"/>
      <c r="M8" s="3"/>
      <c r="N8" s="3"/>
      <c r="O8" s="3"/>
      <c r="Q8" s="3"/>
      <c r="V8" s="5"/>
      <c r="W8" s="5"/>
      <c r="X8" s="5"/>
      <c r="Y8" s="5"/>
      <c r="Z8" s="5"/>
      <c r="AA8" s="5"/>
      <c r="AB8" s="5"/>
      <c r="AC8" s="5"/>
      <c r="AL8" s="53" t="s">
        <v>20</v>
      </c>
      <c r="AM8" s="185"/>
      <c r="AN8" s="186"/>
      <c r="AR8" s="3">
        <v>7</v>
      </c>
    </row>
    <row r="9" spans="1:45" s="2" customFormat="1" ht="19.5" customHeight="1" x14ac:dyDescent="0.2">
      <c r="A9" s="41" t="s">
        <v>5</v>
      </c>
      <c r="B9" s="13"/>
      <c r="C9" s="12"/>
      <c r="D9" s="170" t="str">
        <f>IF('1a. Teamformulier  Thuis'!D9="","",'1a. Teamformulier  Thuis'!D9)</f>
        <v/>
      </c>
      <c r="E9" s="171"/>
      <c r="F9" s="27"/>
      <c r="H9" s="3"/>
      <c r="I9" s="3"/>
      <c r="J9" s="3"/>
      <c r="K9" s="3"/>
      <c r="L9" s="3"/>
      <c r="M9" s="3"/>
      <c r="N9" s="3"/>
      <c r="O9" s="3"/>
      <c r="Q9" s="3"/>
      <c r="V9" s="5"/>
      <c r="W9" s="5"/>
      <c r="X9" s="5"/>
      <c r="Y9" s="5"/>
      <c r="Z9" s="5"/>
      <c r="AA9" s="5"/>
      <c r="AB9" s="5"/>
      <c r="AC9" s="5"/>
      <c r="AL9" s="22" t="s">
        <v>21</v>
      </c>
      <c r="AM9" s="183"/>
      <c r="AN9" s="184"/>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2" t="s">
        <v>9909</v>
      </c>
      <c r="I11" s="182"/>
      <c r="J11" s="182"/>
      <c r="K11" s="182"/>
      <c r="L11" s="182"/>
      <c r="M11" s="182"/>
      <c r="O11" s="182" t="s">
        <v>115</v>
      </c>
      <c r="P11" s="182"/>
      <c r="Q11" s="182"/>
      <c r="S11" s="182" t="s">
        <v>116</v>
      </c>
      <c r="T11" s="182"/>
      <c r="V11" s="5"/>
      <c r="W11" s="5"/>
      <c r="X11" s="5"/>
      <c r="Y11" s="5"/>
      <c r="Z11" s="5"/>
      <c r="AA11" s="5"/>
      <c r="AB11" s="5"/>
      <c r="AC11" s="5"/>
      <c r="AR11" s="3">
        <v>10</v>
      </c>
    </row>
    <row r="12" spans="1:45" x14ac:dyDescent="0.2">
      <c r="H12" s="181" t="s">
        <v>9913</v>
      </c>
      <c r="I12" s="181"/>
      <c r="J12" s="181"/>
      <c r="K12" s="181"/>
      <c r="L12" s="181"/>
      <c r="M12" s="181"/>
      <c r="N12" s="8"/>
      <c r="O12" s="172" t="s">
        <v>9914</v>
      </c>
      <c r="P12" s="172"/>
      <c r="Q12" s="172"/>
      <c r="S12" s="181" t="s">
        <v>9915</v>
      </c>
      <c r="T12" s="181"/>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68182</v>
      </c>
      <c r="C16" s="52">
        <f>IF(B16="","",VLOOKUP(B16,Spelers!$A$1:$E$16764,2,FALSE))</f>
        <v>1002</v>
      </c>
      <c r="D16" s="52" t="str">
        <f>IF(B16="","",VLOOKUP(B16,Spelers!$A$1:$E$16764,3,FALSE))</f>
        <v>P.</v>
      </c>
      <c r="E16" s="52" t="str">
        <f>IF(B16="","",VLOOKUP(B16,Spelers!$A$1:$E$16764,4,FALSE))</f>
        <v>Ris</v>
      </c>
      <c r="F16" s="52" t="str">
        <f>IF(B16="","",VLOOKUP(B16,Spelers!$A$1:$E$16764,5,FALSE))</f>
        <v>V</v>
      </c>
      <c r="H16" s="81" t="s">
        <v>11187</v>
      </c>
      <c r="I16" s="81"/>
      <c r="J16" s="81"/>
      <c r="K16" s="81"/>
      <c r="L16" s="81"/>
      <c r="M16" s="81"/>
      <c r="N16" s="34"/>
      <c r="O16" s="81" t="s">
        <v>11187</v>
      </c>
      <c r="P16" s="81"/>
      <c r="Q16" s="81"/>
      <c r="S16" s="81"/>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x14ac:dyDescent="0.2">
      <c r="A17" s="9">
        <v>2</v>
      </c>
      <c r="B17" s="80">
        <v>69252</v>
      </c>
      <c r="C17" s="52">
        <f>IF(B17="","",VLOOKUP(B17,Spelers!$A$1:$E$16764,2,FALSE))</f>
        <v>1002</v>
      </c>
      <c r="D17" s="52" t="str">
        <f>IF(B17="","",VLOOKUP(B17,Spelers!$A$1:$E$16764,3,FALSE))</f>
        <v>Z.R.</v>
      </c>
      <c r="E17" s="52" t="str">
        <f>IF(B17="","",VLOOKUP(B17,Spelers!$A$1:$E$16764,4,FALSE))</f>
        <v>Bult</v>
      </c>
      <c r="F17" s="52" t="str">
        <f>IF(B17="","",VLOOKUP(B17,Spelers!$A$1:$E$16764,5,FALSE))</f>
        <v>V</v>
      </c>
      <c r="H17" s="81"/>
      <c r="I17" s="81"/>
      <c r="J17" s="81"/>
      <c r="K17" s="81"/>
      <c r="L17" s="81"/>
      <c r="M17" s="81"/>
      <c r="N17" s="34"/>
      <c r="O17" s="81"/>
      <c r="P17" s="81"/>
      <c r="Q17" s="81"/>
      <c r="S17" s="81" t="s">
        <v>11187</v>
      </c>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1</v>
      </c>
      <c r="AF17" s="5">
        <f t="shared" si="5"/>
        <v>0</v>
      </c>
      <c r="AR17" s="3"/>
    </row>
    <row r="18" spans="1:44" s="2" customFormat="1" ht="24.95" customHeight="1" x14ac:dyDescent="0.2">
      <c r="A18" s="9">
        <v>3</v>
      </c>
      <c r="B18" s="80">
        <v>21625</v>
      </c>
      <c r="C18" s="52">
        <f>IF(B18="","",VLOOKUP(B18,Spelers!$A$1:$E$16764,2,FALSE))</f>
        <v>1002</v>
      </c>
      <c r="D18" s="52" t="str">
        <f>IF(B18="","",VLOOKUP(B18,Spelers!$A$1:$E$16764,3,FALSE))</f>
        <v>M.</v>
      </c>
      <c r="E18" s="52" t="str">
        <f>IF(B18="","",VLOOKUP(B18,Spelers!$A$1:$E$16764,4,FALSE))</f>
        <v>Norder</v>
      </c>
      <c r="F18" s="52" t="str">
        <f>IF(B18="","",VLOOKUP(B18,Spelers!$A$1:$E$16764,5,FALSE))</f>
        <v>M</v>
      </c>
      <c r="H18" s="81"/>
      <c r="I18" s="81"/>
      <c r="J18" s="81"/>
      <c r="K18" s="81"/>
      <c r="L18" s="81"/>
      <c r="M18" s="81" t="s">
        <v>11187</v>
      </c>
      <c r="N18" s="34"/>
      <c r="O18" s="81"/>
      <c r="P18" s="81" t="s">
        <v>11187</v>
      </c>
      <c r="Q18" s="81"/>
      <c r="S18" s="81"/>
      <c r="T18" s="81"/>
      <c r="V18" s="5">
        <f t="shared" si="3"/>
        <v>0</v>
      </c>
      <c r="W18" s="5">
        <f t="shared" si="3"/>
        <v>0</v>
      </c>
      <c r="X18" s="5">
        <f t="shared" si="3"/>
        <v>0</v>
      </c>
      <c r="Y18" s="5">
        <f t="shared" si="1"/>
        <v>0</v>
      </c>
      <c r="Z18" s="5">
        <f t="shared" si="1"/>
        <v>0</v>
      </c>
      <c r="AA18" s="5">
        <f t="shared" si="1"/>
        <v>1</v>
      </c>
      <c r="AB18" s="5">
        <f t="shared" si="4"/>
        <v>0</v>
      </c>
      <c r="AC18" s="5">
        <f t="shared" si="2"/>
        <v>1</v>
      </c>
      <c r="AD18" s="5">
        <f t="shared" si="2"/>
        <v>0</v>
      </c>
      <c r="AE18" s="5">
        <f t="shared" si="5"/>
        <v>0</v>
      </c>
      <c r="AF18" s="5">
        <f t="shared" si="5"/>
        <v>0</v>
      </c>
      <c r="AR18" s="3"/>
    </row>
    <row r="19" spans="1:44" s="2" customFormat="1" ht="24.95" customHeight="1" x14ac:dyDescent="0.2">
      <c r="A19" s="9">
        <v>4</v>
      </c>
      <c r="B19" s="80">
        <v>60086</v>
      </c>
      <c r="C19" s="52">
        <f>IF(B19="","",VLOOKUP(B19,Spelers!$A$1:$E$16764,2,FALSE))</f>
        <v>1002</v>
      </c>
      <c r="D19" s="52" t="str">
        <f>IF(B19="","",VLOOKUP(B19,Spelers!$A$1:$E$16764,3,FALSE))</f>
        <v>J.W.</v>
      </c>
      <c r="E19" s="52" t="str">
        <f>IF(B19="","",VLOOKUP(B19,Spelers!$A$1:$E$16764,4,FALSE))</f>
        <v>Huitsing</v>
      </c>
      <c r="F19" s="52" t="str">
        <f>IF(B19="","",VLOOKUP(B19,Spelers!$A$1:$E$16764,5,FALSE))</f>
        <v>M</v>
      </c>
      <c r="H19" s="81"/>
      <c r="I19" s="81" t="s">
        <v>11187</v>
      </c>
      <c r="J19" s="81"/>
      <c r="K19" s="81"/>
      <c r="L19" s="81"/>
      <c r="M19" s="81"/>
      <c r="N19" s="34"/>
      <c r="O19" s="81"/>
      <c r="P19" s="81"/>
      <c r="Q19" s="81" t="s">
        <v>11187</v>
      </c>
      <c r="S19" s="81"/>
      <c r="T19" s="81" t="s">
        <v>11187</v>
      </c>
      <c r="V19" s="5">
        <f t="shared" si="3"/>
        <v>0</v>
      </c>
      <c r="W19" s="5">
        <f t="shared" si="3"/>
        <v>1</v>
      </c>
      <c r="X19" s="5">
        <f t="shared" si="3"/>
        <v>0</v>
      </c>
      <c r="Y19" s="5">
        <f t="shared" si="1"/>
        <v>0</v>
      </c>
      <c r="Z19" s="5">
        <f t="shared" si="1"/>
        <v>0</v>
      </c>
      <c r="AA19" s="5">
        <f t="shared" si="1"/>
        <v>0</v>
      </c>
      <c r="AB19" s="5">
        <f t="shared" si="4"/>
        <v>0</v>
      </c>
      <c r="AC19" s="5">
        <f t="shared" si="2"/>
        <v>0</v>
      </c>
      <c r="AD19" s="5">
        <f t="shared" si="2"/>
        <v>1</v>
      </c>
      <c r="AE19" s="5">
        <f t="shared" si="5"/>
        <v>0</v>
      </c>
      <c r="AF19" s="5">
        <f t="shared" si="5"/>
        <v>1</v>
      </c>
      <c r="AR19" s="3"/>
    </row>
    <row r="20" spans="1:44" s="2" customFormat="1" ht="24.95" customHeight="1" x14ac:dyDescent="0.2">
      <c r="A20" s="9">
        <v>5</v>
      </c>
      <c r="B20" s="80">
        <v>67824</v>
      </c>
      <c r="C20" s="52">
        <f>IF(B20="","",VLOOKUP(B20,Spelers!$A$1:$E$16764,2,FALSE))</f>
        <v>1002</v>
      </c>
      <c r="D20" s="52" t="str">
        <f>IF(B20="","",VLOOKUP(B20,Spelers!$A$1:$E$16764,3,FALSE))</f>
        <v>M. H.</v>
      </c>
      <c r="E20" s="52" t="str">
        <f>IF(B20="","",VLOOKUP(B20,Spelers!$A$1:$E$16764,4,FALSE))</f>
        <v>van Saane</v>
      </c>
      <c r="F20" s="52" t="str">
        <f>IF(B20="","",VLOOKUP(B20,Spelers!$A$1:$E$16764,5,FALSE))</f>
        <v>M</v>
      </c>
      <c r="H20" s="81"/>
      <c r="I20" s="81"/>
      <c r="J20" s="81" t="s">
        <v>11187</v>
      </c>
      <c r="K20" s="81"/>
      <c r="L20" s="81"/>
      <c r="M20" s="81"/>
      <c r="N20" s="34"/>
      <c r="O20" s="81"/>
      <c r="P20" s="81"/>
      <c r="Q20" s="81" t="s">
        <v>11187</v>
      </c>
      <c r="S20" s="81" t="s">
        <v>11187</v>
      </c>
      <c r="T20" s="81"/>
      <c r="V20" s="5">
        <f t="shared" si="3"/>
        <v>0</v>
      </c>
      <c r="W20" s="5">
        <f t="shared" si="3"/>
        <v>0</v>
      </c>
      <c r="X20" s="5">
        <f t="shared" si="3"/>
        <v>1</v>
      </c>
      <c r="Y20" s="5">
        <f t="shared" si="1"/>
        <v>0</v>
      </c>
      <c r="Z20" s="5">
        <f t="shared" si="1"/>
        <v>0</v>
      </c>
      <c r="AA20" s="5">
        <f t="shared" si="1"/>
        <v>0</v>
      </c>
      <c r="AB20" s="5">
        <f t="shared" si="4"/>
        <v>0</v>
      </c>
      <c r="AC20" s="5">
        <f t="shared" si="2"/>
        <v>0</v>
      </c>
      <c r="AD20" s="5">
        <f t="shared" si="2"/>
        <v>1</v>
      </c>
      <c r="AE20" s="5">
        <f t="shared" si="5"/>
        <v>1</v>
      </c>
      <c r="AF20" s="5">
        <f t="shared" si="5"/>
        <v>0</v>
      </c>
      <c r="AR20" s="3"/>
    </row>
    <row r="21" spans="1:44" s="2" customFormat="1" ht="24.95" customHeight="1" x14ac:dyDescent="0.2">
      <c r="A21" s="9">
        <v>6</v>
      </c>
      <c r="B21" s="80">
        <v>70166</v>
      </c>
      <c r="C21" s="52">
        <f>IF(B21="","",VLOOKUP(B21,Spelers!$A$1:$E$16764,2,FALSE))</f>
        <v>1002</v>
      </c>
      <c r="D21" s="52" t="str">
        <f>IF(B21="","",VLOOKUP(B21,Spelers!$A$1:$E$16764,3,FALSE))</f>
        <v>K.H.</v>
      </c>
      <c r="E21" s="52" t="str">
        <f>IF(B21="","",VLOOKUP(B21,Spelers!$A$1:$E$16764,4,FALSE))</f>
        <v>Wentink</v>
      </c>
      <c r="F21" s="52" t="str">
        <f>IF(B21="","",VLOOKUP(B21,Spelers!$A$1:$E$16764,5,FALSE))</f>
        <v>M</v>
      </c>
      <c r="H21" s="81"/>
      <c r="I21" s="81"/>
      <c r="J21" s="81"/>
      <c r="K21" s="81" t="s">
        <v>11187</v>
      </c>
      <c r="L21" s="81"/>
      <c r="M21" s="81"/>
      <c r="N21" s="34"/>
      <c r="O21" s="81"/>
      <c r="P21" s="81"/>
      <c r="Q21" s="81"/>
      <c r="S21" s="81"/>
      <c r="T21" s="81" t="s">
        <v>11187</v>
      </c>
      <c r="V21" s="5">
        <f t="shared" si="3"/>
        <v>0</v>
      </c>
      <c r="W21" s="5">
        <f t="shared" si="3"/>
        <v>0</v>
      </c>
      <c r="X21" s="5">
        <f t="shared" si="3"/>
        <v>0</v>
      </c>
      <c r="Y21" s="5">
        <f t="shared" si="1"/>
        <v>1</v>
      </c>
      <c r="Z21" s="5">
        <f t="shared" si="1"/>
        <v>0</v>
      </c>
      <c r="AA21" s="5">
        <f t="shared" si="1"/>
        <v>0</v>
      </c>
      <c r="AB21" s="5">
        <f t="shared" si="4"/>
        <v>0</v>
      </c>
      <c r="AC21" s="5">
        <f t="shared" si="2"/>
        <v>0</v>
      </c>
      <c r="AD21" s="5">
        <f t="shared" si="2"/>
        <v>0</v>
      </c>
      <c r="AE21" s="5">
        <f t="shared" si="5"/>
        <v>0</v>
      </c>
      <c r="AF21" s="5">
        <f t="shared" si="5"/>
        <v>1</v>
      </c>
      <c r="AR21" s="3"/>
    </row>
    <row r="22" spans="1:44" s="2" customFormat="1" ht="24.95" customHeight="1" x14ac:dyDescent="0.2">
      <c r="A22" s="9">
        <v>7</v>
      </c>
      <c r="B22" s="80">
        <v>49345</v>
      </c>
      <c r="C22" s="52">
        <f>IF(B22="","",VLOOKUP(B22,Spelers!$A$1:$E$16764,2,FALSE))</f>
        <v>1002</v>
      </c>
      <c r="D22" s="52" t="str">
        <f>IF(B22="","",VLOOKUP(B22,Spelers!$A$1:$E$16764,3,FALSE))</f>
        <v>R.</v>
      </c>
      <c r="E22" s="52" t="str">
        <f>IF(B22="","",VLOOKUP(B22,Spelers!$A$1:$E$16764,4,FALSE))</f>
        <v>de Roos de</v>
      </c>
      <c r="F22" s="52" t="str">
        <f>IF(B22="","",VLOOKUP(B22,Spelers!$A$1:$E$16764,5,FALSE))</f>
        <v>M</v>
      </c>
      <c r="H22" s="81"/>
      <c r="I22" s="81"/>
      <c r="J22" s="81"/>
      <c r="K22" s="81"/>
      <c r="L22" s="81" t="s">
        <v>11187</v>
      </c>
      <c r="M22" s="81"/>
      <c r="N22" s="34"/>
      <c r="O22" s="81"/>
      <c r="P22" s="81" t="s">
        <v>11187</v>
      </c>
      <c r="Q22" s="81"/>
      <c r="S22" s="81"/>
      <c r="T22" s="81" t="s">
        <v>11187</v>
      </c>
      <c r="V22" s="5">
        <f t="shared" si="3"/>
        <v>0</v>
      </c>
      <c r="W22" s="5">
        <f t="shared" si="3"/>
        <v>0</v>
      </c>
      <c r="X22" s="5">
        <f t="shared" si="3"/>
        <v>0</v>
      </c>
      <c r="Y22" s="5">
        <f t="shared" si="1"/>
        <v>0</v>
      </c>
      <c r="Z22" s="5">
        <f t="shared" si="1"/>
        <v>1</v>
      </c>
      <c r="AA22" s="5">
        <f t="shared" si="1"/>
        <v>0</v>
      </c>
      <c r="AB22" s="5">
        <f t="shared" si="4"/>
        <v>0</v>
      </c>
      <c r="AC22" s="5">
        <f t="shared" si="2"/>
        <v>1</v>
      </c>
      <c r="AD22" s="5">
        <f t="shared" si="2"/>
        <v>0</v>
      </c>
      <c r="AE22" s="5">
        <f t="shared" si="5"/>
        <v>0</v>
      </c>
      <c r="AF22" s="5">
        <f t="shared" si="5"/>
        <v>1</v>
      </c>
      <c r="AR22" s="3"/>
    </row>
    <row r="23" spans="1:44" s="2" customFormat="1" ht="24.95" customHeight="1" x14ac:dyDescent="0.2">
      <c r="A23" s="9">
        <v>8</v>
      </c>
      <c r="B23" s="80">
        <v>58381</v>
      </c>
      <c r="C23" s="52">
        <f>IF(B23="","",VLOOKUP(B23,Spelers!$A$1:$E$16764,2,FALSE))</f>
        <v>1002</v>
      </c>
      <c r="D23" s="52" t="str">
        <f>IF(B23="","",VLOOKUP(B23,Spelers!$A$1:$E$16764,3,FALSE))</f>
        <v>R.</v>
      </c>
      <c r="E23" s="52" t="str">
        <f>IF(B23="","",VLOOKUP(B23,Spelers!$A$1:$E$16764,4,FALSE))</f>
        <v>Moorlag</v>
      </c>
      <c r="F23" s="52" t="str">
        <f>IF(B23="","",VLOOKUP(B23,Spelers!$A$1:$E$16764,5,FALSE))</f>
        <v>M</v>
      </c>
      <c r="H23" s="81"/>
      <c r="I23" s="81"/>
      <c r="J23" s="81"/>
      <c r="K23" s="81"/>
      <c r="L23" s="81"/>
      <c r="M23" s="81"/>
      <c r="N23" s="34"/>
      <c r="O23" s="81" t="s">
        <v>11187</v>
      </c>
      <c r="P23" s="81"/>
      <c r="Q23" s="81"/>
      <c r="S23" s="81" t="s">
        <v>11187</v>
      </c>
      <c r="T23" s="81"/>
      <c r="V23" s="5">
        <f t="shared" si="3"/>
        <v>0</v>
      </c>
      <c r="W23" s="5">
        <f t="shared" si="3"/>
        <v>0</v>
      </c>
      <c r="X23" s="5">
        <f t="shared" si="3"/>
        <v>0</v>
      </c>
      <c r="Y23" s="5">
        <f t="shared" si="1"/>
        <v>0</v>
      </c>
      <c r="Z23" s="5">
        <f t="shared" si="1"/>
        <v>0</v>
      </c>
      <c r="AA23" s="5">
        <f t="shared" si="1"/>
        <v>0</v>
      </c>
      <c r="AB23" s="5">
        <f t="shared" si="4"/>
        <v>1</v>
      </c>
      <c r="AC23" s="5">
        <f t="shared" si="2"/>
        <v>0</v>
      </c>
      <c r="AD23" s="5">
        <f t="shared" si="2"/>
        <v>0</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scale="95"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
      </c>
      <c r="E5" s="44"/>
      <c r="G5" s="187"/>
      <c r="H5" s="187"/>
      <c r="I5" s="187" t="str">
        <f>CONCATENATE(I1,"-",J1)</f>
        <v>-</v>
      </c>
      <c r="J5" s="187"/>
    </row>
    <row r="6" spans="1:16" x14ac:dyDescent="0.2">
      <c r="A6" s="44" t="s">
        <v>5</v>
      </c>
      <c r="C6" s="94"/>
      <c r="D6" s="44" t="str">
        <f>IF('1a. Teamformulier  Thuis'!$D$9="","",'1a. Teamformulier  Thuis'!$D$9)</f>
        <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68182</v>
      </c>
      <c r="C10" s="36">
        <f>IF(F10="","",VLOOKUP(B10,'2a. Teamformulier  Uit'!B16:C24,2,FALSE))</f>
        <v>1002</v>
      </c>
      <c r="D10" s="36" t="str">
        <f>IF(B10="","",VLOOKUP(A10,'2a. Teamformulier  Uit'!A16:F24,4,FALSE))</f>
        <v>P.</v>
      </c>
      <c r="E10" s="36" t="str">
        <f>IF(D10="","",VLOOKUP(A10,'2a. Teamformulier  Uit'!A16:F24,5,FALSE))</f>
        <v>Ris</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4</v>
      </c>
      <c r="B12" s="36">
        <f>IF(A12="","",VLOOKUP(A12,'2a. Teamformulier  Uit'!A16:F24,2,FALSE))</f>
        <v>60086</v>
      </c>
      <c r="C12" s="36">
        <f>IF(F12="","",VLOOKUP(B12,'2a. Teamformulier  Uit'!B16:C24,2,FALSE))</f>
        <v>1002</v>
      </c>
      <c r="D12" s="36" t="str">
        <f>IF(B12="","",VLOOKUP(A12,'2a. Teamformulier  Uit'!A16:F24,4,FALSE))</f>
        <v>J.W.</v>
      </c>
      <c r="E12" s="36" t="str">
        <f>IF(D12="","",VLOOKUP(A12,'2a. Teamformulier  Uit'!A16:F24,5,FALSE))</f>
        <v>Huitsing</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5</v>
      </c>
      <c r="B14" s="36">
        <f>IF(A14="","",VLOOKUP(A14,'2a. Teamformulier  Uit'!A16:F24,2,FALSE))</f>
        <v>67824</v>
      </c>
      <c r="C14" s="36">
        <f>IF(F14="","",VLOOKUP(B14,'2a. Teamformulier  Uit'!B16:C24,2,FALSE))</f>
        <v>1002</v>
      </c>
      <c r="D14" s="36" t="str">
        <f>IF(B14="","",VLOOKUP(A14,'2a. Teamformulier  Uit'!A16:F24,4,FALSE))</f>
        <v>M. H.</v>
      </c>
      <c r="E14" s="36" t="str">
        <f>IF(D14="","",VLOOKUP(A14,'2a. Teamformulier  Uit'!A16:F24,5,FALSE))</f>
        <v>van Saane</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6</v>
      </c>
      <c r="B16" s="36">
        <f>IF(A16="","",VLOOKUP(A16,'2a. Teamformulier  Uit'!A16:F24,2,FALSE))</f>
        <v>70166</v>
      </c>
      <c r="C16" s="36">
        <f>IF(F16="","",VLOOKUP(B16,'2a. Teamformulier  Uit'!B16:C24,2,FALSE))</f>
        <v>1002</v>
      </c>
      <c r="D16" s="36" t="str">
        <f>IF(B16="","",VLOOKUP(A16,'2a. Teamformulier  Uit'!A16:F24,4,FALSE))</f>
        <v>K.H.</v>
      </c>
      <c r="E16" s="36" t="str">
        <f>IF(D16="","",VLOOKUP(A16,'2a. Teamformulier  Uit'!A16:F24,5,FALSE))</f>
        <v>Wentink</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7</v>
      </c>
      <c r="B18" s="36">
        <f>IF(A18="","",VLOOKUP(A18,'2a. Teamformulier  Uit'!A16:F24,2,FALSE))</f>
        <v>49345</v>
      </c>
      <c r="C18" s="36">
        <f>IF(F18="","",VLOOKUP(B18,'2a. Teamformulier  Uit'!B16:C24,2,FALSE))</f>
        <v>1002</v>
      </c>
      <c r="D18" s="36" t="str">
        <f>IF(B18="","",VLOOKUP(A18,'2a. Teamformulier  Uit'!A16:F24,4,FALSE))</f>
        <v>R.</v>
      </c>
      <c r="E18" s="36" t="str">
        <f>IF(D18="","",VLOOKUP(A18,'2a. Teamformulier  Uit'!A16:F24,5,FALSE))</f>
        <v>de Roos de</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3</v>
      </c>
      <c r="B20" s="36">
        <f>IF(A20="","",VLOOKUP(A20,'2a. Teamformulier  Uit'!A16:F24,2,FALSE))</f>
        <v>21625</v>
      </c>
      <c r="C20" s="36">
        <f>IF(F20="","",VLOOKUP(B20,'2a. Teamformulier  Uit'!B16:C24,2,FALSE))</f>
        <v>1002</v>
      </c>
      <c r="D20" s="36" t="str">
        <f>IF(B20="","",VLOOKUP(A20,'2a. Teamformulier  Uit'!A16:F24,4,FALSE))</f>
        <v>M.</v>
      </c>
      <c r="E20" s="36" t="str">
        <f>IF(D20="","",VLOOKUP(A20,'2a. Teamformulier  Uit'!A16:F24,5,FALSE))</f>
        <v>Norder</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45339</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68182</v>
      </c>
      <c r="C28" s="36">
        <f>IF(F28="","",VLOOKUP(B28,'2a. Teamformulier  Uit'!B16:C24,2,FALSE))</f>
        <v>1002</v>
      </c>
      <c r="D28" s="36" t="str">
        <f>IF(B28="","",VLOOKUP(A28,'2a. Teamformulier  Uit'!A16:F24,4,FALSE))</f>
        <v>P.</v>
      </c>
      <c r="E28" s="36" t="str">
        <f>IF(D28="","",VLOOKUP(A28,'2a. Teamformulier  Uit'!A16:F24,5,FALSE))</f>
        <v>Ris</v>
      </c>
      <c r="F28" s="138" t="str">
        <f>IF(E28="","",VLOOKUP(A28,'2a. Teamformulier  Uit'!A16:F24,6,FALSE))</f>
        <v>V</v>
      </c>
    </row>
    <row r="29" spans="1:7" ht="20.100000000000001" customHeight="1" x14ac:dyDescent="0.2">
      <c r="A29" s="35">
        <f>IF('2a. Teamformulier  Uit'!AB15&gt;0,LARGE('Berekening Opstelling Uit'!I4:I12,1),"")</f>
        <v>8</v>
      </c>
      <c r="B29" s="36">
        <f>IF(A29="","",VLOOKUP(A29,'2a. Teamformulier  Uit'!A16:F24,2,FALSE))</f>
        <v>58381</v>
      </c>
      <c r="C29" s="36">
        <f>IF(F29="","",VLOOKUP(B29,'2a. Teamformulier  Uit'!B16:C24,2,FALSE))</f>
        <v>1002</v>
      </c>
      <c r="D29" s="36" t="str">
        <f>IF(B29="","",VLOOKUP(A29,'2a. Teamformulier  Uit'!A16:F24,4,FALSE))</f>
        <v>R.</v>
      </c>
      <c r="E29" s="36" t="str">
        <f>IF(D29="","",VLOOKUP(A29,'2a. Teamformulier  Uit'!A16:F24,5,FALSE))</f>
        <v>Moorlag</v>
      </c>
      <c r="F29" s="138" t="str">
        <f>IF(E29="","",VLOOKUP(A29,'2a. Teamformulier  Uit'!A16:F24,6,FALSE))</f>
        <v>M</v>
      </c>
    </row>
    <row r="30" spans="1:7" x14ac:dyDescent="0.2">
      <c r="A30" s="29" t="s">
        <v>9933</v>
      </c>
      <c r="B30" s="19"/>
      <c r="C30" s="19"/>
      <c r="D30" s="19"/>
      <c r="E30" s="14"/>
    </row>
    <row r="31" spans="1:7" ht="20.100000000000001" customHeight="1" x14ac:dyDescent="0.2">
      <c r="A31" s="35">
        <f>IF('2a. Teamformulier  Uit'!AC15&gt;0,SMALL('Berekening Opstelling Uit'!J4:J12,1),"")</f>
        <v>3</v>
      </c>
      <c r="B31" s="36">
        <f>IF(A31="","",VLOOKUP(A31,'2a. Teamformulier  Uit'!A16:F24,2,FALSE))</f>
        <v>21625</v>
      </c>
      <c r="C31" s="36">
        <f>IF(F31="","",VLOOKUP(B31,'2a. Teamformulier  Uit'!B16:C24,2,FALSE))</f>
        <v>1002</v>
      </c>
      <c r="D31" s="36" t="str">
        <f>IF(B31="","",VLOOKUP(A31,'2a. Teamformulier  Uit'!A16:F24,4,FALSE))</f>
        <v>M.</v>
      </c>
      <c r="E31" s="36" t="str">
        <f>IF(D31="","",VLOOKUP(A31,'2a. Teamformulier  Uit'!A16:F24,5,FALSE))</f>
        <v>Norder</v>
      </c>
      <c r="F31" s="138" t="str">
        <f>IF(E31="","",VLOOKUP(A31,'2a. Teamformulier  Uit'!A16:F24,6,FALSE))</f>
        <v>M</v>
      </c>
    </row>
    <row r="32" spans="1:7" ht="20.100000000000001" customHeight="1" x14ac:dyDescent="0.2">
      <c r="A32" s="35">
        <f>IF('2a. Teamformulier  Uit'!AC15&gt;0,LARGE('Berekening Opstelling Uit'!J4:J12,1),"")</f>
        <v>7</v>
      </c>
      <c r="B32" s="36">
        <f>IF(A32="","",VLOOKUP(A32,'2a. Teamformulier  Uit'!A16:F24,2,FALSE))</f>
        <v>49345</v>
      </c>
      <c r="C32" s="36">
        <f>IF(F32="","",VLOOKUP(B32,'2a. Teamformulier  Uit'!B16:C24,2,FALSE))</f>
        <v>1002</v>
      </c>
      <c r="D32" s="36" t="str">
        <f>IF(B32="","",VLOOKUP(A32,'2a. Teamformulier  Uit'!A16:F24,4,FALSE))</f>
        <v>R.</v>
      </c>
      <c r="E32" s="36" t="str">
        <f>IF(D32="","",VLOOKUP(A32,'2a. Teamformulier  Uit'!A16:F24,5,FALSE))</f>
        <v>de Roos de</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4</v>
      </c>
      <c r="B34" s="36">
        <f>IF(A34="","",VLOOKUP(A34,'2a. Teamformulier  Uit'!A16:F24,2,FALSE))</f>
        <v>60086</v>
      </c>
      <c r="C34" s="36">
        <f>IF(F34="","",VLOOKUP(B34,'2a. Teamformulier  Uit'!B16:C24,2,FALSE))</f>
        <v>1002</v>
      </c>
      <c r="D34" s="36" t="str">
        <f>IF(B34="","",VLOOKUP(A34,'2a. Teamformulier  Uit'!A16:F24,4,FALSE))</f>
        <v>J.W.</v>
      </c>
      <c r="E34" s="36" t="str">
        <f>IF(D34="","",VLOOKUP(A34,'2a. Teamformulier  Uit'!A16:F24,5,FALSE))</f>
        <v>Huitsing</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67824</v>
      </c>
      <c r="C35" s="36">
        <f>IF(F35="","",VLOOKUP(B35,'2a. Teamformulier  Uit'!B16:C24,2,FALSE))</f>
        <v>1002</v>
      </c>
      <c r="D35" s="36" t="str">
        <f>IF(B35="","",VLOOKUP(A35,'2a. Teamformulier  Uit'!A16:F24,4,FALSE))</f>
        <v>M. H.</v>
      </c>
      <c r="E35" s="36" t="str">
        <f>IF(D35="","",VLOOKUP(A35,'2a. Teamformulier  Uit'!A16:F24,5,FALSE))</f>
        <v>van Saane</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45339</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69252</v>
      </c>
      <c r="C43" s="36">
        <f>IF(F43="","",VLOOKUP(B43,'2a. Teamformulier  Uit'!$B$16:$C$24,2,FALSE))</f>
        <v>1002</v>
      </c>
      <c r="D43" s="36" t="str">
        <f>IF(B43="","",VLOOKUP(A43,'2a. Teamformulier  Uit'!$A$16:$F$24,4,FALSE))</f>
        <v>Z.R.</v>
      </c>
      <c r="E43" s="36" t="str">
        <f>IF(D43="","",VLOOKUP(A43,'2a. Teamformulier  Uit'!$A$16:$F$24,5,FALSE))</f>
        <v>Bult</v>
      </c>
      <c r="F43" s="138" t="str">
        <f>IF(E43="","",VLOOKUP(A43,'2a. Teamformulier  Uit'!$A$16:$F$24,6,FALSE))</f>
        <v>V</v>
      </c>
    </row>
    <row r="44" spans="1:7" ht="20.100000000000001" customHeight="1" x14ac:dyDescent="0.2">
      <c r="A44" s="35">
        <f>IF('2a. Teamformulier  Uit'!$AE$15&gt;0,SMALL('Berekening Opstelling Uit'!M4:M12,2),"")</f>
        <v>5</v>
      </c>
      <c r="B44" s="36">
        <f>IF(A44="","",VLOOKUP(A44,'2a. Teamformulier  Uit'!$A$16:$F$24,2,FALSE))</f>
        <v>67824</v>
      </c>
      <c r="C44" s="36">
        <f>IF(F44="","",VLOOKUP(B44,'2a. Teamformulier  Uit'!$B$16:$C$24,2,FALSE))</f>
        <v>1002</v>
      </c>
      <c r="D44" s="36" t="str">
        <f>IF(B44="","",VLOOKUP(A44,'2a. Teamformulier  Uit'!$A$16:$F$24,4,FALSE))</f>
        <v>M. H.</v>
      </c>
      <c r="E44" s="36" t="str">
        <f>IF(D44="","",VLOOKUP(A44,'2a. Teamformulier  Uit'!$A$16:$F$24,5,FALSE))</f>
        <v>van Saane</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58381</v>
      </c>
      <c r="C45" s="36">
        <f>IF(F45="","",VLOOKUP(B45,'2a. Teamformulier  Uit'!$B$16:$C$24,2,FALSE))</f>
        <v>1002</v>
      </c>
      <c r="D45" s="36" t="str">
        <f>IF(B45="","",VLOOKUP(A45,'2a. Teamformulier  Uit'!$A$16:$F$24,4,FALSE))</f>
        <v>R.</v>
      </c>
      <c r="E45" s="36" t="str">
        <f>IF(D45="","",VLOOKUP(A45,'2a. Teamformulier  Uit'!$A$16:$F$24,5,FALSE))</f>
        <v>Moorlag</v>
      </c>
      <c r="F45" s="138" t="str">
        <f>IF(E45="","",VLOOKUP(A45,'2a. Teamformulier  Uit'!$A$16:$F$24,6,FALSE))</f>
        <v>M</v>
      </c>
    </row>
    <row r="46" spans="1:7" x14ac:dyDescent="0.2">
      <c r="A46" s="29" t="s">
        <v>9936</v>
      </c>
      <c r="B46" s="19"/>
      <c r="C46" s="19"/>
      <c r="D46" s="19"/>
      <c r="E46" s="14"/>
    </row>
    <row r="47" spans="1:7" ht="20.100000000000001" customHeight="1" x14ac:dyDescent="0.2">
      <c r="A47" s="35">
        <f>IF('2a. Teamformulier  Uit'!$AF$15&gt;0,SMALL('Berekening Opstelling Uit'!$N$4:$N$12,1),"")</f>
        <v>4</v>
      </c>
      <c r="B47" s="36">
        <f>IF(A47="","",VLOOKUP(A47,'2a. Teamformulier  Uit'!$A$16:$F$24,2,FALSE))</f>
        <v>60086</v>
      </c>
      <c r="C47" s="36">
        <f>IF(F47="","",VLOOKUP(B47,'2a. Teamformulier  Uit'!$B$16:$C$24,2,FALSE))</f>
        <v>1002</v>
      </c>
      <c r="D47" s="36" t="str">
        <f>IF(B47="","",VLOOKUP(A47,'2a. Teamformulier  Uit'!$A$16:$F$24,4,FALSE))</f>
        <v>J.W.</v>
      </c>
      <c r="E47" s="36" t="str">
        <f>IF(D47="","",VLOOKUP(A47,'2a. Teamformulier  Uit'!$A$16:$F$24,5,FALSE))</f>
        <v>Huitsing</v>
      </c>
      <c r="F47" s="138" t="str">
        <f>IF(E47="","",VLOOKUP(A47,'2a. Teamformulier  Uit'!$A$16:$F$24,6,FALSE))</f>
        <v>M</v>
      </c>
    </row>
    <row r="48" spans="1:7" ht="20.100000000000001" customHeight="1" x14ac:dyDescent="0.2">
      <c r="A48" s="35">
        <f>IF('2a. Teamformulier  Uit'!$AF$15&gt;0,SMALL('Berekening Opstelling Uit'!$N$4:$N$12,2),"")</f>
        <v>6</v>
      </c>
      <c r="B48" s="36">
        <f>IF(A48="","",VLOOKUP(A48,'2a. Teamformulier  Uit'!$A$16:$F$24,2,FALSE))</f>
        <v>70166</v>
      </c>
      <c r="C48" s="36">
        <f>IF(F48="","",VLOOKUP(B48,'2a. Teamformulier  Uit'!$B$16:$C$24,2,FALSE))</f>
        <v>1002</v>
      </c>
      <c r="D48" s="36" t="str">
        <f>IF(B48="","",VLOOKUP(A48,'2a. Teamformulier  Uit'!$A$16:$F$24,4,FALSE))</f>
        <v>K.H.</v>
      </c>
      <c r="E48" s="36" t="str">
        <f>IF(D48="","",VLOOKUP(A48,'2a. Teamformulier  Uit'!$A$16:$F$24,5,FALSE))</f>
        <v>Wentink</v>
      </c>
      <c r="F48" s="138" t="str">
        <f>IF(E48="","",VLOOKUP(A48,'2a. Teamformulier  Uit'!$A$16:$F$24,6,FALSE))</f>
        <v>M</v>
      </c>
    </row>
    <row r="49" spans="1:6" ht="20.100000000000001" customHeight="1" x14ac:dyDescent="0.2">
      <c r="A49" s="35">
        <f>IF('2a. Teamformulier  Uit'!$AF$15&gt;0,LARGE('Berekening Opstelling Uit'!$N$4:$N$12,1),"")</f>
        <v>7</v>
      </c>
      <c r="B49" s="36">
        <f>IF(A49="","",VLOOKUP(A49,'2a. Teamformulier  Uit'!$A$16:$F$24,2,FALSE))</f>
        <v>49345</v>
      </c>
      <c r="C49" s="36">
        <f>IF(F49="","",VLOOKUP(B49,'2a. Teamformulier  Uit'!$B$16:$C$24,2,FALSE))</f>
        <v>1002</v>
      </c>
      <c r="D49" s="36" t="str">
        <f>IF(B49="","",VLOOKUP(A49,'2a. Teamformulier  Uit'!$A$16:$F$24,4,FALSE))</f>
        <v>R.</v>
      </c>
      <c r="E49" s="36" t="str">
        <f>IF(D49="","",VLOOKUP(A49,'2a. Teamformulier  Uit'!$A$16:$F$24,5,FALSE))</f>
        <v>de Roos de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31" zoomScaleNormal="100" workbookViewId="0">
      <selection activeCell="X63" sqref="X6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0">
        <f>Spelers!H2</f>
        <v>45336</v>
      </c>
      <c r="H1" s="221"/>
      <c r="I1" s="121"/>
      <c r="R1" s="55" t="s">
        <v>55</v>
      </c>
      <c r="S1" s="55" t="s">
        <v>55</v>
      </c>
      <c r="T1" s="45" t="s">
        <v>40</v>
      </c>
    </row>
    <row r="2" spans="1:25" x14ac:dyDescent="0.2">
      <c r="A2" s="71" t="s">
        <v>69</v>
      </c>
      <c r="B2" s="71"/>
      <c r="L2" s="222"/>
      <c r="M2" s="222"/>
      <c r="N2" s="222"/>
      <c r="R2" s="55" t="s">
        <v>62</v>
      </c>
      <c r="S2" s="56">
        <v>1</v>
      </c>
      <c r="T2" s="56" t="s">
        <v>61</v>
      </c>
      <c r="Y2" s="166">
        <v>0</v>
      </c>
    </row>
    <row r="3" spans="1:25" x14ac:dyDescent="0.2">
      <c r="A3" s="71" t="s">
        <v>60</v>
      </c>
      <c r="B3" s="71"/>
      <c r="R3" s="55" t="s">
        <v>59</v>
      </c>
      <c r="S3" s="56">
        <v>2</v>
      </c>
      <c r="T3" s="56" t="s">
        <v>58</v>
      </c>
      <c r="Y3" s="55">
        <v>1</v>
      </c>
    </row>
    <row r="4" spans="1:25" x14ac:dyDescent="0.2">
      <c r="A4" s="44">
        <f>P13</f>
        <v>23</v>
      </c>
      <c r="B4" s="44">
        <f>Q13</f>
        <v>8</v>
      </c>
      <c r="C4" s="55">
        <f>M13</f>
        <v>129</v>
      </c>
      <c r="D4" s="55">
        <f>N13</f>
        <v>89</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t="str">
        <f>IF('1a. Teamformulier  Thuis'!D9="","",'1a. Teamformulier  Thuis'!D9)</f>
        <v/>
      </c>
      <c r="G7" s="72" t="s">
        <v>10</v>
      </c>
      <c r="H7" s="72"/>
      <c r="J7" s="133" cm="1">
        <f t="array" ref="J7:K7">IF('1a. Teamformulier  Thuis'!D8:E8="","",'1a. Teamformulier  Thuis'!D8:E8)</f>
        <v>45339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3" t="s">
        <v>68</v>
      </c>
      <c r="H10" s="224"/>
      <c r="I10" s="224"/>
      <c r="J10" s="224"/>
      <c r="K10" s="225"/>
      <c r="M10" s="207" t="s">
        <v>49</v>
      </c>
      <c r="N10" s="208"/>
      <c r="O10" s="69"/>
      <c r="P10" s="207" t="s">
        <v>48</v>
      </c>
      <c r="Q10" s="208"/>
      <c r="R10" s="55"/>
      <c r="S10" s="56">
        <v>12</v>
      </c>
      <c r="Y10" s="55">
        <v>8</v>
      </c>
    </row>
    <row r="11" spans="1:25" ht="15" customHeight="1" x14ac:dyDescent="0.2">
      <c r="A11" s="199" t="str">
        <f>IF('1a. Teamformulier  Thuis'!D4="","",'1a. Teamformulier  Thuis'!D4)</f>
        <v/>
      </c>
      <c r="B11" s="200"/>
      <c r="C11" s="200"/>
      <c r="D11" s="200"/>
      <c r="E11" s="201"/>
      <c r="G11" s="199" t="str">
        <f>IF('1a. Teamformulier  Thuis'!D5="","",'1a. Teamformulier  Thuis'!D5)</f>
        <v/>
      </c>
      <c r="H11" s="200"/>
      <c r="I11" s="200"/>
      <c r="J11" s="200"/>
      <c r="K11" s="201"/>
      <c r="M11" s="209"/>
      <c r="N11" s="210"/>
      <c r="O11" s="69"/>
      <c r="P11" s="209"/>
      <c r="Q11" s="210"/>
      <c r="R11" s="55"/>
      <c r="S11" s="56">
        <v>13</v>
      </c>
      <c r="Y11" s="55">
        <v>9</v>
      </c>
    </row>
    <row r="12" spans="1:25" x14ac:dyDescent="0.2">
      <c r="B12" s="189" t="str">
        <f>IF(A18="","",IF(D9&lt;&gt;0,"Check T.",""))</f>
        <v/>
      </c>
      <c r="C12" s="189"/>
      <c r="H12" s="189" t="str">
        <f>IF(G18="","",IF(G9&lt;&gt;0,"Check U.",""))</f>
        <v/>
      </c>
      <c r="I12" s="189"/>
      <c r="M12" s="70" t="s">
        <v>30</v>
      </c>
      <c r="N12" s="68" t="s">
        <v>31</v>
      </c>
      <c r="O12" s="69"/>
      <c r="P12" s="68" t="s">
        <v>30</v>
      </c>
      <c r="Q12" s="68" t="s">
        <v>31</v>
      </c>
      <c r="R12" s="55"/>
      <c r="S12" s="56">
        <v>14</v>
      </c>
      <c r="Y12" s="55">
        <v>10</v>
      </c>
    </row>
    <row r="13" spans="1:25" x14ac:dyDescent="0.2">
      <c r="C13" s="65"/>
      <c r="D13" s="116"/>
      <c r="E13" s="167"/>
      <c r="F13" s="226"/>
      <c r="G13" s="226"/>
      <c r="H13" s="226"/>
      <c r="M13" s="67">
        <f>IF(M18="","",M20+M23+M26+M29+M32+M35+M41+M45+M49+M64+M69)</f>
        <v>129</v>
      </c>
      <c r="N13" s="67">
        <f>IF(N18="","",N20+N23+N26+N29+N32+N35+N41+N45+N49+N64+N69)</f>
        <v>89</v>
      </c>
      <c r="O13" s="66"/>
      <c r="P13" s="67">
        <f>IF(P18="","",+P20+P23+P26+P29+P32+P35+P41+P45+P49+P64+P69+P5)</f>
        <v>23</v>
      </c>
      <c r="Q13" s="67">
        <f>IF(Q18="","",+Q20+Q23+Q26+Q29+Q32+Q35+Q41+Q45+Q49+Q64+Q69+Q5)</f>
        <v>8</v>
      </c>
      <c r="Y13" s="55">
        <v>11</v>
      </c>
    </row>
    <row r="14" spans="1:25" ht="15" x14ac:dyDescent="0.2">
      <c r="A14" s="63" t="s">
        <v>47</v>
      </c>
      <c r="B14" s="63"/>
      <c r="C14" s="65"/>
      <c r="D14" s="65"/>
      <c r="E14" s="65"/>
      <c r="M14" s="86">
        <f>IF(M66="","",+M13-N13)</f>
        <v>40</v>
      </c>
      <c r="N14" s="87" t="str">
        <f>IF(M66="","","Saldo")</f>
        <v>Saldo</v>
      </c>
      <c r="O14" s="85" t="e">
        <f>IF(#REF!="","",+P13-Q13)</f>
        <v>#REF!</v>
      </c>
      <c r="P14" s="86">
        <f>IF(P66="","",+P13-Q13)</f>
        <v>15</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45421</v>
      </c>
      <c r="B18" s="61">
        <f>IF(A18="","",VLOOKUP(A18,Spelers!$A$2:$B$60240,2,FALSE))</f>
        <v>8002</v>
      </c>
      <c r="C18" s="61" t="str">
        <f>IF(A18="","",VLOOKUP(A18,Spelers!$A$2:$E$17264,3,FALSE))</f>
        <v>E.</v>
      </c>
      <c r="D18" s="61" t="str">
        <f>IF(A18="","",VLOOKUP(A18,Spelers!$A$2:$E$17264,4,FALSE))</f>
        <v>van der Linden</v>
      </c>
      <c r="E18" s="61" t="str">
        <f>IF(A18="","",VLOOKUP(A18,Spelers!$A$2:$E$17264,5,FALSE))</f>
        <v>V</v>
      </c>
      <c r="G18" s="134">
        <f>IF('2b. Opstelling Uit'!$B$10="","",'2b. Opstelling Uit'!$B$10)</f>
        <v>68182</v>
      </c>
      <c r="H18" s="61">
        <f>IF(G18="","",VLOOKUP(G18,Spelers!$A$2:$B$18464,2,FALSE))</f>
        <v>1002</v>
      </c>
      <c r="I18" s="61" t="str">
        <f>IF(G18="","",VLOOKUP(G18,Spelers!$A$2:$E$18464,3,FALSE))</f>
        <v>P.</v>
      </c>
      <c r="J18" s="61" t="str">
        <f>IF(G18="","",VLOOKUP(G18,Spelers!$A$2:$E$18464,4,FALSE))</f>
        <v>Ris</v>
      </c>
      <c r="K18" s="61" t="str">
        <f>IF(G18="","",VLOOKUP(G18,Spelers!$A$2:$E$18464,5,FALSE))</f>
        <v>V</v>
      </c>
      <c r="L18" s="55"/>
      <c r="M18" s="205">
        <v>13</v>
      </c>
      <c r="N18" s="213">
        <v>10</v>
      </c>
      <c r="O18" s="60"/>
      <c r="P18" s="215">
        <f>IF(M18="","",IF(M18&gt;N18,2,0))</f>
        <v>2</v>
      </c>
      <c r="Q18" s="215">
        <f>IF(N18="","",IF(N18&lt;M18,0,2))</f>
        <v>0</v>
      </c>
    </row>
    <row r="19" spans="1:17" x14ac:dyDescent="0.2">
      <c r="A19" s="144"/>
      <c r="B19" s="145"/>
      <c r="C19" s="145"/>
      <c r="D19" s="145"/>
      <c r="E19" s="145"/>
      <c r="G19" s="144"/>
      <c r="H19" s="145"/>
      <c r="I19" s="145"/>
      <c r="J19" s="145"/>
      <c r="K19" s="145"/>
      <c r="L19" s="55"/>
      <c r="M19" s="206"/>
      <c r="N19" s="214"/>
      <c r="O19" s="60"/>
      <c r="P19" s="216"/>
      <c r="Q19" s="216"/>
    </row>
    <row r="20" spans="1:17" x14ac:dyDescent="0.2">
      <c r="A20" s="62" t="s">
        <v>9917</v>
      </c>
      <c r="B20" s="62"/>
      <c r="E20" s="98">
        <v>2</v>
      </c>
      <c r="M20" s="58">
        <f>IF(M18="",0,M18)</f>
        <v>13</v>
      </c>
      <c r="N20" s="58">
        <f>IF(N18="",0,N18)</f>
        <v>10</v>
      </c>
      <c r="P20" s="58">
        <f>IF(P18="",0,P18)</f>
        <v>2</v>
      </c>
      <c r="Q20" s="58">
        <f>IF(Q18="",0,Q18)</f>
        <v>0</v>
      </c>
    </row>
    <row r="21" spans="1:17" x14ac:dyDescent="0.2">
      <c r="A21" s="142">
        <f>IF('1b. Opstelling Thuis'!$B$12="","",'1b. Opstelling Thuis'!$B$12)</f>
        <v>27269</v>
      </c>
      <c r="B21" s="143">
        <f>IF(A21="","",VLOOKUP(A21,Spelers!$A$2:$B$60240,2,FALSE))</f>
        <v>8002</v>
      </c>
      <c r="C21" s="143" t="str">
        <f>IF(A21="","",VLOOKUP(A21,Spelers!$A$2:$E$17264,3,FALSE))</f>
        <v>B.</v>
      </c>
      <c r="D21" s="143" t="str">
        <f>IF(A21="","",VLOOKUP(A21,Spelers!$A$2:$E$17264,4,FALSE))</f>
        <v>Velthuijsen</v>
      </c>
      <c r="E21" s="146" t="str">
        <f>IF(A21="","",VLOOKUP(A21,Spelers!$A$2:$E$17264,5,FALSE))</f>
        <v>M</v>
      </c>
      <c r="F21" s="148"/>
      <c r="G21" s="147">
        <f>IF('2b. Opstelling Uit'!$B$12="","",'2b. Opstelling Uit'!$B$12)</f>
        <v>60086</v>
      </c>
      <c r="H21" s="143">
        <f>IF(G21="","",VLOOKUP(G21,Spelers!$A$2:$B$18464,2,FALSE))</f>
        <v>1002</v>
      </c>
      <c r="I21" s="143" t="str">
        <f>IF(G21="","",VLOOKUP(G21,Spelers!$A$2:$E$18464,3,FALSE))</f>
        <v>J.W.</v>
      </c>
      <c r="J21" s="143" t="str">
        <f>IF(G21="","",VLOOKUP(G21,Spelers!$A$2:$E$18464,4,FALSE))</f>
        <v>Huitsing</v>
      </c>
      <c r="K21" s="143" t="str">
        <f>IF(G21="","",VLOOKUP(G21,Spelers!$A$2:$E$18464,5,FALSE))</f>
        <v>M</v>
      </c>
      <c r="L21" s="55"/>
      <c r="M21" s="205">
        <v>13</v>
      </c>
      <c r="N21" s="213">
        <v>6</v>
      </c>
      <c r="O21" s="60"/>
      <c r="P21" s="215">
        <f>IF(M21="","",IF(M21&gt;N21,2,0))</f>
        <v>2</v>
      </c>
      <c r="Q21" s="215">
        <f>IF(N21="","",IF(N21&lt;M21,0,2))</f>
        <v>0</v>
      </c>
    </row>
    <row r="22" spans="1:17" x14ac:dyDescent="0.2">
      <c r="A22" s="144"/>
      <c r="B22" s="145"/>
      <c r="C22" s="145"/>
      <c r="D22" s="145"/>
      <c r="E22" s="145"/>
      <c r="G22" s="144"/>
      <c r="H22" s="145"/>
      <c r="I22" s="145"/>
      <c r="J22" s="145"/>
      <c r="K22" s="145"/>
      <c r="L22" s="55"/>
      <c r="M22" s="206"/>
      <c r="N22" s="214"/>
      <c r="O22" s="60"/>
      <c r="P22" s="216"/>
      <c r="Q22" s="216"/>
    </row>
    <row r="23" spans="1:17" x14ac:dyDescent="0.2">
      <c r="A23" s="62" t="s">
        <v>9918</v>
      </c>
      <c r="B23" s="62"/>
      <c r="E23" s="98">
        <v>2</v>
      </c>
      <c r="M23" s="58">
        <f>IF(M21="",0,M21)</f>
        <v>13</v>
      </c>
      <c r="N23" s="58">
        <f>IF(N21="",0,N21)</f>
        <v>6</v>
      </c>
      <c r="P23" s="58">
        <f>IF(P21="",0,P21)</f>
        <v>2</v>
      </c>
      <c r="Q23" s="58">
        <f>IF(Q21="",0,Q21)</f>
        <v>0</v>
      </c>
    </row>
    <row r="24" spans="1:17" x14ac:dyDescent="0.2">
      <c r="A24" s="134">
        <f>IF('1b. Opstelling Thuis'!$B$14="","",'1b. Opstelling Thuis'!$B$14)</f>
        <v>8139</v>
      </c>
      <c r="B24" s="61">
        <f>IF(A24="","",VLOOKUP(A24,Spelers!$A$2:$B$60240,2,FALSE))</f>
        <v>8002</v>
      </c>
      <c r="C24" s="61" t="str">
        <f>IF(A24="","",VLOOKUP(A24,Spelers!$A$2:$E$17264,3,FALSE))</f>
        <v>K.</v>
      </c>
      <c r="D24" s="61" t="str">
        <f>IF(A24="","",VLOOKUP(A24,Spelers!$A$2:$E$17264,4,FALSE))</f>
        <v>Elyazidi</v>
      </c>
      <c r="E24" s="61" t="str">
        <f>IF(A24="","",VLOOKUP(A24,Spelers!$A$2:$E$17264,5,FALSE))</f>
        <v>M</v>
      </c>
      <c r="G24" s="134">
        <f>IF('2b. Opstelling Uit'!$B$14="","",'2b. Opstelling Uit'!$B$14)</f>
        <v>67824</v>
      </c>
      <c r="H24" s="61">
        <f>IF(G24="","",VLOOKUP(G24,Spelers!$A$2:$B$18464,2,FALSE))</f>
        <v>1002</v>
      </c>
      <c r="I24" s="61" t="str">
        <f>IF(G24="","",VLOOKUP(G24,Spelers!$A$2:$E$18464,3,FALSE))</f>
        <v>M. H.</v>
      </c>
      <c r="J24" s="61" t="str">
        <f>IF(G24="","",VLOOKUP(G24,Spelers!$A$2:$E$18464,4,FALSE))</f>
        <v>van Saane</v>
      </c>
      <c r="K24" s="61" t="str">
        <f>IF(G24="","",VLOOKUP(G24,Spelers!$A$2:$E$18464,5,FALSE))</f>
        <v>M</v>
      </c>
      <c r="L24" s="55"/>
      <c r="M24" s="205">
        <v>13</v>
      </c>
      <c r="N24" s="213">
        <v>11</v>
      </c>
      <c r="O24" s="60"/>
      <c r="P24" s="215">
        <f>IF(M24="","",IF(M24&gt;N24,2,0))</f>
        <v>2</v>
      </c>
      <c r="Q24" s="215">
        <f>IF(N24="","",IF(N24&lt;M24,0,2))</f>
        <v>0</v>
      </c>
    </row>
    <row r="25" spans="1:17" x14ac:dyDescent="0.2">
      <c r="A25" s="144"/>
      <c r="B25" s="145"/>
      <c r="C25" s="145"/>
      <c r="D25" s="145"/>
      <c r="E25" s="145"/>
      <c r="G25" s="144"/>
      <c r="H25" s="145"/>
      <c r="I25" s="145"/>
      <c r="J25" s="145"/>
      <c r="K25" s="145"/>
      <c r="L25" s="55"/>
      <c r="M25" s="206"/>
      <c r="N25" s="214"/>
      <c r="O25" s="60"/>
      <c r="P25" s="216"/>
      <c r="Q25" s="216"/>
    </row>
    <row r="26" spans="1:17" x14ac:dyDescent="0.2">
      <c r="A26" s="62" t="s">
        <v>9919</v>
      </c>
      <c r="B26" s="62"/>
      <c r="E26" s="97">
        <v>3</v>
      </c>
      <c r="M26" s="58">
        <f>IF(M24="",0,M24)</f>
        <v>13</v>
      </c>
      <c r="N26" s="58">
        <f>IF(N24="",0,N24)</f>
        <v>11</v>
      </c>
      <c r="P26" s="58">
        <f>IF(P24="",0,P24)</f>
        <v>2</v>
      </c>
      <c r="Q26" s="58">
        <f>IF(Q24="",0,Q24)</f>
        <v>0</v>
      </c>
    </row>
    <row r="27" spans="1:17" x14ac:dyDescent="0.2">
      <c r="A27" s="134">
        <f>IF('1b. Opstelling Thuis'!$B$16="","",'1b. Opstelling Thuis'!$B$16)</f>
        <v>17321</v>
      </c>
      <c r="B27" s="61">
        <f>IF(A27="","",VLOOKUP(A27,Spelers!$A$2:$B$17264,2,FALSE))</f>
        <v>8002</v>
      </c>
      <c r="C27" s="61" t="str">
        <f>IF(A27="","",VLOOKUP(A27,Spelers!$A$2:$E$17264,3,FALSE))</f>
        <v>M.</v>
      </c>
      <c r="D27" s="61" t="str">
        <f>IF(A27="","",VLOOKUP(A27,Spelers!$A$2:$E$17264,4,FALSE))</f>
        <v>Agzoul</v>
      </c>
      <c r="E27" s="61" t="str">
        <f>IF(A27="","",VLOOKUP(A27,Spelers!$A$2:$E$17264,5,FALSE))</f>
        <v>M</v>
      </c>
      <c r="G27" s="134">
        <f>IF('2b. Opstelling Uit'!$B$16="","",'2b. Opstelling Uit'!$B$16)</f>
        <v>70166</v>
      </c>
      <c r="H27" s="61">
        <f>IF(G27="","",VLOOKUP(G27,Spelers!$A$2:$B$18464,2,FALSE))</f>
        <v>1002</v>
      </c>
      <c r="I27" s="61" t="str">
        <f>IF(G27="","",VLOOKUP(G27,Spelers!$A$2:$E$18464,3,FALSE))</f>
        <v>K.H.</v>
      </c>
      <c r="J27" s="61" t="str">
        <f>IF(G27="","",VLOOKUP(G27,Spelers!$A$2:$E$18464,4,FALSE))</f>
        <v>Wentink</v>
      </c>
      <c r="K27" s="61" t="str">
        <f>IF(G27="","",VLOOKUP(G27,Spelers!$A$2:$E$18464,5,FALSE))</f>
        <v>M</v>
      </c>
      <c r="L27" s="55"/>
      <c r="M27" s="205">
        <v>13</v>
      </c>
      <c r="N27" s="213">
        <v>11</v>
      </c>
      <c r="O27" s="60"/>
      <c r="P27" s="215">
        <f>IF(M27="","",IF(M27&gt;N27,2,0))</f>
        <v>2</v>
      </c>
      <c r="Q27" s="215">
        <f>IF(N27="","",IF(N27&lt;M27,0,2))</f>
        <v>0</v>
      </c>
    </row>
    <row r="28" spans="1:17" x14ac:dyDescent="0.2">
      <c r="A28" s="144"/>
      <c r="B28" s="145"/>
      <c r="C28" s="145"/>
      <c r="D28" s="145"/>
      <c r="E28" s="145"/>
      <c r="G28" s="144"/>
      <c r="H28" s="145"/>
      <c r="I28" s="145"/>
      <c r="J28" s="145"/>
      <c r="K28" s="145"/>
      <c r="L28" s="55"/>
      <c r="M28" s="206"/>
      <c r="N28" s="214"/>
      <c r="O28" s="60"/>
      <c r="P28" s="216"/>
      <c r="Q28" s="216"/>
    </row>
    <row r="29" spans="1:17" x14ac:dyDescent="0.2">
      <c r="A29" s="62" t="s">
        <v>9920</v>
      </c>
      <c r="B29" s="62"/>
      <c r="E29" s="98">
        <v>2</v>
      </c>
      <c r="M29" s="58">
        <f>IF(M27="",0,M27)</f>
        <v>13</v>
      </c>
      <c r="N29" s="58">
        <f>IF(N27="",0,N27)</f>
        <v>11</v>
      </c>
      <c r="P29" s="58">
        <f>IF(P27="",0,P27)</f>
        <v>2</v>
      </c>
      <c r="Q29" s="58">
        <f>IF(Q27="",0,Q27)</f>
        <v>0</v>
      </c>
    </row>
    <row r="30" spans="1:17" x14ac:dyDescent="0.2">
      <c r="A30" s="134">
        <f>IF('1b. Opstelling Thuis'!$B$18="","",'1b. Opstelling Thuis'!$B$18)</f>
        <v>1340</v>
      </c>
      <c r="B30" s="61">
        <f>IF(A30="","",VLOOKUP(A30,Spelers!$A$2:$B$60240,2,FALSE))</f>
        <v>8002</v>
      </c>
      <c r="C30" s="61" t="str">
        <f>IF(A30="","",VLOOKUP(A30,Spelers!$A$2:$E$17264,3,FALSE))</f>
        <v>E.R.</v>
      </c>
      <c r="D30" s="61" t="str">
        <f>IF(A30="","",VLOOKUP(A30,Spelers!$A$2:$E$17264,4,FALSE))</f>
        <v>Telkamp</v>
      </c>
      <c r="E30" s="61" t="str">
        <f>IF(A30="","",VLOOKUP(A30,Spelers!$A$2:$E$17264,5,FALSE))</f>
        <v>M</v>
      </c>
      <c r="G30" s="134">
        <f>IF('2b. Opstelling Uit'!$B$18="","",'2b. Opstelling Uit'!$B$18)</f>
        <v>49345</v>
      </c>
      <c r="H30" s="61">
        <f>IF(G30="","",VLOOKUP(G30,Spelers!$A$2:$B$18464,2,FALSE))</f>
        <v>1002</v>
      </c>
      <c r="I30" s="61" t="str">
        <f>IF(G30="","",VLOOKUP(G30,Spelers!$A$2:$E$18464,3,FALSE))</f>
        <v>R.</v>
      </c>
      <c r="J30" s="61" t="str">
        <f>IF(G30="","",VLOOKUP(G30,Spelers!$A$2:$E$18464,4,FALSE))</f>
        <v>de Roos de</v>
      </c>
      <c r="K30" s="61" t="str">
        <f>IF(G30="","",VLOOKUP(G30,Spelers!$A$2:$E$18464,5,FALSE))</f>
        <v>M</v>
      </c>
      <c r="L30" s="55"/>
      <c r="M30" s="205">
        <v>13</v>
      </c>
      <c r="N30" s="213">
        <v>2</v>
      </c>
      <c r="O30" s="60"/>
      <c r="P30" s="215">
        <f>IF(M30="","",IF(M30&gt;N30,2,0))</f>
        <v>2</v>
      </c>
      <c r="Q30" s="215">
        <f>IF(N30="","",IF(N30&lt;M30,0,2))</f>
        <v>0</v>
      </c>
    </row>
    <row r="31" spans="1:17" x14ac:dyDescent="0.2">
      <c r="A31" s="144"/>
      <c r="B31" s="145"/>
      <c r="C31" s="145"/>
      <c r="D31" s="145"/>
      <c r="E31" s="145"/>
      <c r="G31" s="144"/>
      <c r="H31" s="145"/>
      <c r="I31" s="145"/>
      <c r="J31" s="145"/>
      <c r="K31" s="145"/>
      <c r="L31" s="55"/>
      <c r="M31" s="206"/>
      <c r="N31" s="214"/>
      <c r="O31" s="60"/>
      <c r="P31" s="216"/>
      <c r="Q31" s="216"/>
    </row>
    <row r="32" spans="1:17" x14ac:dyDescent="0.2">
      <c r="A32" s="62" t="s">
        <v>9921</v>
      </c>
      <c r="B32" s="62"/>
      <c r="E32" s="97">
        <v>3</v>
      </c>
      <c r="M32" s="58">
        <f>IF(M30="",0,M30)</f>
        <v>13</v>
      </c>
      <c r="N32" s="58">
        <f>IF(N30="",0,N30)</f>
        <v>2</v>
      </c>
      <c r="P32" s="58">
        <f>IF(P30="",0,P30)</f>
        <v>2</v>
      </c>
      <c r="Q32" s="58">
        <f>IF(Q30="",0,Q30)</f>
        <v>0</v>
      </c>
    </row>
    <row r="33" spans="1:17" x14ac:dyDescent="0.2">
      <c r="A33" s="134">
        <f>IF('1b. Opstelling Thuis'!$B$20="","",'1b. Opstelling Thuis'!$B$20)</f>
        <v>21469</v>
      </c>
      <c r="B33" s="61">
        <f>IF(A33="","",VLOOKUP(A33,Spelers!$A$2:$B$17264,2,FALSE))</f>
        <v>8002</v>
      </c>
      <c r="C33" s="61" t="str">
        <f>IF(A33="","",VLOOKUP(A33,Spelers!$A$2:$E$17264,3,FALSE))</f>
        <v>D.</v>
      </c>
      <c r="D33" s="61" t="str">
        <f>IF(A33="","",VLOOKUP(A33,Spelers!$A$2:$E$17264,4,FALSE))</f>
        <v>Peterse</v>
      </c>
      <c r="E33" s="61" t="str">
        <f>IF(A33="","",VLOOKUP(A33,Spelers!$A$2:$E$17264,5,FALSE))</f>
        <v>M</v>
      </c>
      <c r="G33" s="134">
        <f>IF('2b. Opstelling Uit'!$B$20="","",'2b. Opstelling Uit'!$B$20)</f>
        <v>21625</v>
      </c>
      <c r="H33" s="61">
        <f>IF(G33="","",VLOOKUP(G33,Spelers!$A$2:$B$18464,2,FALSE))</f>
        <v>1002</v>
      </c>
      <c r="I33" s="61" t="str">
        <f>IF(G33="","",VLOOKUP(G33,Spelers!$A$2:$E$18464,3,FALSE))</f>
        <v>M.</v>
      </c>
      <c r="J33" s="61" t="str">
        <f>IF(G33="","",VLOOKUP(G33,Spelers!$A$2:$E$18464,4,FALSE))</f>
        <v>Norder</v>
      </c>
      <c r="K33" s="61" t="str">
        <f>IF(G33="","",VLOOKUP(G33,Spelers!$A$2:$E$18464,5,FALSE))</f>
        <v>M</v>
      </c>
      <c r="L33" s="55"/>
      <c r="M33" s="205">
        <v>13</v>
      </c>
      <c r="N33" s="213">
        <v>6</v>
      </c>
      <c r="O33" s="60"/>
      <c r="P33" s="215">
        <f>IF(M33="","",IF(M33&gt;N33,2,0))</f>
        <v>2</v>
      </c>
      <c r="Q33" s="215">
        <f>IF(N33="","",IF(N33&lt;M33,0,2))</f>
        <v>0</v>
      </c>
    </row>
    <row r="34" spans="1:17" x14ac:dyDescent="0.2">
      <c r="A34" s="144"/>
      <c r="B34" s="145"/>
      <c r="C34" s="145"/>
      <c r="D34" s="145"/>
      <c r="E34" s="145"/>
      <c r="G34" s="144"/>
      <c r="H34" s="145"/>
      <c r="I34" s="145"/>
      <c r="J34" s="145"/>
      <c r="K34" s="145"/>
      <c r="L34" s="55"/>
      <c r="M34" s="206"/>
      <c r="N34" s="214"/>
      <c r="O34" s="60"/>
      <c r="P34" s="216"/>
      <c r="Q34" s="216"/>
    </row>
    <row r="35" spans="1:17" x14ac:dyDescent="0.2">
      <c r="A35" s="55"/>
      <c r="B35" s="55"/>
      <c r="C35" s="55"/>
      <c r="D35" s="55"/>
      <c r="E35" s="55"/>
      <c r="G35" s="55"/>
      <c r="H35" s="55"/>
      <c r="I35" s="55"/>
      <c r="J35" s="55"/>
      <c r="K35" s="55"/>
      <c r="L35" s="55"/>
      <c r="M35" s="58">
        <f>IF(M33="",0,M33)</f>
        <v>13</v>
      </c>
      <c r="N35" s="58">
        <f>IF(N33="",0,N33)</f>
        <v>6</v>
      </c>
      <c r="O35" s="60"/>
      <c r="P35" s="58">
        <f>IF(P33="",0,P33)</f>
        <v>2</v>
      </c>
      <c r="Q35" s="58">
        <f>IF(Q33="",0,Q33)</f>
        <v>0</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45421</v>
      </c>
      <c r="B39" s="61">
        <f>IF(A39="","",VLOOKUP(A39,Spelers!$A$2:$B$17264,2,FALSE))</f>
        <v>8002</v>
      </c>
      <c r="C39" s="61" t="str">
        <f>IF(A39="","",VLOOKUP(A39,Spelers!$A$2:$E$17264,3,FALSE))</f>
        <v>E.</v>
      </c>
      <c r="D39" s="61" t="str">
        <f>IF(A39="","",VLOOKUP(A39,Spelers!$A$2:$E$17264,4,FALSE))</f>
        <v>van der Linden</v>
      </c>
      <c r="E39" s="61" t="str">
        <f>IF(A39="","",VLOOKUP(A39,Spelers!$A$2:$E$17264,5,FALSE))</f>
        <v>V</v>
      </c>
      <c r="G39" s="134">
        <f>IF('2b. Opstelling Uit'!$B$28="","",'2b. Opstelling Uit'!$B$28)</f>
        <v>68182</v>
      </c>
      <c r="H39" s="61">
        <f>IF(G39="","",VLOOKUP(G39,Spelers!$A$2:$B$18464,2,FALSE))</f>
        <v>1002</v>
      </c>
      <c r="I39" s="61" t="str">
        <f>IF(G39="","",VLOOKUP(G39,Spelers!$A$2:$E$18464,3,FALSE))</f>
        <v>P.</v>
      </c>
      <c r="J39" s="61" t="str">
        <f>IF(G39="","",VLOOKUP(G39,Spelers!$A$2:$E$18464,4,FALSE))</f>
        <v>Ris</v>
      </c>
      <c r="K39" s="61" t="str">
        <f>IF(G39="","",VLOOKUP(G39,Spelers!$A$2:$E$18464,5,FALSE))</f>
        <v>V</v>
      </c>
      <c r="L39" s="55"/>
      <c r="M39" s="205">
        <v>5</v>
      </c>
      <c r="N39" s="205">
        <v>13</v>
      </c>
      <c r="O39" s="60"/>
      <c r="P39" s="215">
        <f>IF(M39="","",IF(M39&gt;N39,3,0))</f>
        <v>0</v>
      </c>
      <c r="Q39" s="215">
        <f>IF(N39="","",IF(N39&lt;M39,0,3))</f>
        <v>3</v>
      </c>
    </row>
    <row r="40" spans="1:17" x14ac:dyDescent="0.2">
      <c r="A40" s="134">
        <f>IF('1b. Opstelling Thuis'!$B$29="","",'1b. Opstelling Thuis'!$B$29)</f>
        <v>27269</v>
      </c>
      <c r="B40" s="61">
        <f>IF(A40="","",VLOOKUP(A40,Spelers!$A$2:$B$17264,2,FALSE))</f>
        <v>8002</v>
      </c>
      <c r="C40" s="61" t="str">
        <f>IF(A40="","",VLOOKUP(A40,Spelers!$A$2:$E$17264,3,FALSE))</f>
        <v>B.</v>
      </c>
      <c r="D40" s="61" t="str">
        <f>IF(A40="","",VLOOKUP(A40,Spelers!$A$2:$E$17264,4,FALSE))</f>
        <v>Velthuijsen</v>
      </c>
      <c r="E40" s="61" t="str">
        <f>IF(A40="","",VLOOKUP(A40,Spelers!$A$2:$E$17264,5,FALSE))</f>
        <v>M</v>
      </c>
      <c r="G40" s="134">
        <f>IF('2b. Opstelling Uit'!$B$29="","",'2b. Opstelling Uit'!$B$29)</f>
        <v>58381</v>
      </c>
      <c r="H40" s="61">
        <f>IF(G40="","",VLOOKUP(G40,Spelers!$A$2:$B$18464,2,FALSE))</f>
        <v>1002</v>
      </c>
      <c r="I40" s="61" t="str">
        <f>IF(G40="","",VLOOKUP(G40,Spelers!$A$2:$E$18464,3,FALSE))</f>
        <v>R.</v>
      </c>
      <c r="J40" s="61" t="str">
        <f>IF(G40="","",VLOOKUP(G40,Spelers!$A$2:$E$18464,4,FALSE))</f>
        <v>Moorlag</v>
      </c>
      <c r="K40" s="61" t="str">
        <f>IF(G40="","",VLOOKUP(G40,Spelers!$A$2:$E$18464,5,FALSE))</f>
        <v>M</v>
      </c>
      <c r="L40" s="55"/>
      <c r="M40" s="206"/>
      <c r="N40" s="206"/>
      <c r="O40" s="60"/>
      <c r="P40" s="216"/>
      <c r="Q40" s="216"/>
    </row>
    <row r="41" spans="1:17" x14ac:dyDescent="0.2">
      <c r="M41" s="58">
        <f>IF(M39="",0,M39)</f>
        <v>5</v>
      </c>
      <c r="N41" s="58">
        <f>IF(N39="",0,N39)</f>
        <v>13</v>
      </c>
      <c r="O41" s="58" t="str">
        <f>IF(O39="","",O39)</f>
        <v/>
      </c>
      <c r="P41" s="58">
        <f>IF(P39="",0,P39)</f>
        <v>0</v>
      </c>
      <c r="Q41" s="58">
        <f>IF(Q39="",0,Q39)</f>
        <v>3</v>
      </c>
    </row>
    <row r="42" spans="1:17" x14ac:dyDescent="0.2">
      <c r="A42" s="62" t="s">
        <v>9933</v>
      </c>
      <c r="B42" s="62"/>
      <c r="E42" s="97">
        <v>5</v>
      </c>
    </row>
    <row r="43" spans="1:17" x14ac:dyDescent="0.2">
      <c r="A43" s="134">
        <f>IF('1b. Opstelling Thuis'!$B$31="","",'1b. Opstelling Thuis'!$B$31)</f>
        <v>1340</v>
      </c>
      <c r="B43" s="61">
        <f>IF(A43="","",VLOOKUP(A43,Spelers!$A$2:$B$17264,2,FALSE))</f>
        <v>8002</v>
      </c>
      <c r="C43" s="61" t="str">
        <f>IF(A43="","",VLOOKUP(A43,Spelers!$A$2:$E$17264,3,FALSE))</f>
        <v>E.R.</v>
      </c>
      <c r="D43" s="61" t="str">
        <f>IF(A43="","",VLOOKUP(A43,Spelers!$A$2:$E$17264,4,FALSE))</f>
        <v>Telkamp</v>
      </c>
      <c r="E43" s="61" t="str">
        <f>IF(A43="","",VLOOKUP(A43,Spelers!$A$2:$E$17264,5,FALSE))</f>
        <v>M</v>
      </c>
      <c r="G43" s="134">
        <f>IF('2b. Opstelling Uit'!$B$31="","",'2b. Opstelling Uit'!$B$31)</f>
        <v>21625</v>
      </c>
      <c r="H43" s="61">
        <f>IF(G43="","",VLOOKUP(G43,Spelers!$A$2:$B$18464,2,FALSE))</f>
        <v>1002</v>
      </c>
      <c r="I43" s="61" t="str">
        <f>IF(G43="","",VLOOKUP(G43,Spelers!$A$2:$E$18464,3,FALSE))</f>
        <v>M.</v>
      </c>
      <c r="J43" s="61" t="str">
        <f>IF(G43="","",VLOOKUP(G43,Spelers!$A$2:$E$18464,4,FALSE))</f>
        <v>Norder</v>
      </c>
      <c r="K43" s="61" t="str">
        <f>IF(G43="","",VLOOKUP(G43,Spelers!$A$2:$E$18464,5,FALSE))</f>
        <v>M</v>
      </c>
      <c r="L43" s="55"/>
      <c r="M43" s="205">
        <v>13</v>
      </c>
      <c r="N43" s="205">
        <v>5</v>
      </c>
      <c r="O43" s="60"/>
      <c r="P43" s="215">
        <f>IF(M43="","",IF(M43&gt;N43,3,0))</f>
        <v>3</v>
      </c>
      <c r="Q43" s="215">
        <f>IF(N43="","",IF(N43&lt;M43,0,3))</f>
        <v>0</v>
      </c>
    </row>
    <row r="44" spans="1:17" x14ac:dyDescent="0.2">
      <c r="A44" s="134">
        <f>IF('1b. Opstelling Thuis'!$B$32="","",'1b. Opstelling Thuis'!$B$32)</f>
        <v>8139</v>
      </c>
      <c r="B44" s="61">
        <f>IF(A44="","",VLOOKUP(A44,Spelers!$A$2:$B$17264,2,FALSE))</f>
        <v>8002</v>
      </c>
      <c r="C44" s="61" t="str">
        <f>IF(A44="","",VLOOKUP(A44,Spelers!$A$2:$E$17264,3,FALSE))</f>
        <v>K.</v>
      </c>
      <c r="D44" s="61" t="str">
        <f>IF(A44="","",VLOOKUP(A44,Spelers!$A$2:$E$17264,4,FALSE))</f>
        <v>Elyazidi</v>
      </c>
      <c r="E44" s="61" t="str">
        <f>IF(A44="","",VLOOKUP(A44,Spelers!$A$2:$E$17264,5,FALSE))</f>
        <v>M</v>
      </c>
      <c r="G44" s="134">
        <f>IF('2b. Opstelling Uit'!$B$32="","",'2b. Opstelling Uit'!$B$32)</f>
        <v>49345</v>
      </c>
      <c r="H44" s="61">
        <f>IF(G44="","",VLOOKUP(G44,Spelers!$A$2:$B$18464,2,FALSE))</f>
        <v>1002</v>
      </c>
      <c r="I44" s="61" t="str">
        <f>IF(G44="","",VLOOKUP(G44,Spelers!$A$2:$E$18464,3,FALSE))</f>
        <v>R.</v>
      </c>
      <c r="J44" s="61" t="str">
        <f>IF(G44="","",VLOOKUP(G44,Spelers!$A$2:$E$18464,4,FALSE))</f>
        <v>de Roos de</v>
      </c>
      <c r="K44" s="61" t="str">
        <f>IF(G44="","",VLOOKUP(G44,Spelers!$A$2:$E$18464,5,FALSE))</f>
        <v>M</v>
      </c>
      <c r="L44" s="55"/>
      <c r="M44" s="206"/>
      <c r="N44" s="206"/>
      <c r="O44" s="60"/>
      <c r="P44" s="216"/>
      <c r="Q44" s="216"/>
    </row>
    <row r="45" spans="1:17" x14ac:dyDescent="0.2">
      <c r="M45" s="58">
        <f>IF(M43="",0,M43)</f>
        <v>13</v>
      </c>
      <c r="N45" s="58">
        <f>IF(N43="",0,N43)</f>
        <v>5</v>
      </c>
      <c r="O45" s="58" t="str">
        <f>IF(O43="","",O43)</f>
        <v/>
      </c>
      <c r="P45" s="58">
        <f>IF(P43="",0,P43)</f>
        <v>3</v>
      </c>
      <c r="Q45" s="58">
        <f>IF(Q43="",0,Q43)</f>
        <v>0</v>
      </c>
    </row>
    <row r="46" spans="1:17" x14ac:dyDescent="0.2">
      <c r="A46" s="62" t="s">
        <v>9934</v>
      </c>
      <c r="B46" s="62"/>
      <c r="E46" s="97">
        <v>5</v>
      </c>
    </row>
    <row r="47" spans="1:17" x14ac:dyDescent="0.2">
      <c r="A47" s="134">
        <f>IF('1b. Opstelling Thuis'!$B$34="","",'1b. Opstelling Thuis'!$B$34)</f>
        <v>21469</v>
      </c>
      <c r="B47" s="61">
        <f>IF(A47="","",VLOOKUP(A47,Spelers!$A$2:$B$17264,2,FALSE))</f>
        <v>8002</v>
      </c>
      <c r="C47" s="61" t="str">
        <f>IF(A47="","",VLOOKUP(A47,Spelers!$A$2:$E$17264,3,FALSE))</f>
        <v>D.</v>
      </c>
      <c r="D47" s="61" t="str">
        <f>IF(A47="","",VLOOKUP(A47,Spelers!$A$2:$E$17264,4,FALSE))</f>
        <v>Peterse</v>
      </c>
      <c r="E47" s="61" t="str">
        <f>IF(A47="","",VLOOKUP(A47,Spelers!$A$2:$E$17264,5,FALSE))</f>
        <v>M</v>
      </c>
      <c r="G47" s="134">
        <f>IF('2b. Opstelling Uit'!$B$34="","",'2b. Opstelling Uit'!$B$34)</f>
        <v>60086</v>
      </c>
      <c r="H47" s="61">
        <f>IF(G47="","",VLOOKUP(G47,Spelers!$A$2:$B$18464,2,FALSE))</f>
        <v>1002</v>
      </c>
      <c r="I47" s="61" t="str">
        <f>IF(G47="","",VLOOKUP(G47,Spelers!$A$2:$E$18464,3,FALSE))</f>
        <v>J.W.</v>
      </c>
      <c r="J47" s="61" t="str">
        <f>IF(G47="","",VLOOKUP(G47,Spelers!$A$2:$E$18464,4,FALSE))</f>
        <v>Huitsing</v>
      </c>
      <c r="K47" s="61" t="str">
        <f>IF(G47="","",VLOOKUP(G47,Spelers!$A$2:$E$18464,5,FALSE))</f>
        <v>M</v>
      </c>
      <c r="L47" s="55"/>
      <c r="M47" s="205">
        <v>13</v>
      </c>
      <c r="N47" s="205">
        <v>0</v>
      </c>
      <c r="O47" s="60"/>
      <c r="P47" s="215">
        <f>IF(M47="","",IF(M47&gt;N47,3,0))</f>
        <v>3</v>
      </c>
      <c r="Q47" s="215">
        <f>IF(N47="","",IF(N47&lt;M47,0,3))</f>
        <v>0</v>
      </c>
    </row>
    <row r="48" spans="1:17" x14ac:dyDescent="0.2">
      <c r="A48" s="134">
        <f>IF('1b. Opstelling Thuis'!$B$35="","",'1b. Opstelling Thuis'!$B$35)</f>
        <v>17321</v>
      </c>
      <c r="B48" s="61">
        <f>IF(A48="","",VLOOKUP(A48,Spelers!$A$2:$B$17264,2,FALSE))</f>
        <v>8002</v>
      </c>
      <c r="C48" s="61" t="str">
        <f>IF(A48="","",VLOOKUP(A48,Spelers!$A$2:$E$17264,3,FALSE))</f>
        <v>M.</v>
      </c>
      <c r="D48" s="61" t="str">
        <f>IF(A48="","",VLOOKUP(A48,Spelers!$A$2:$E$17264,4,FALSE))</f>
        <v>Agzoul</v>
      </c>
      <c r="E48" s="61" t="str">
        <f>IF(A48="","",VLOOKUP(A48,Spelers!$A$2:$E$17264,5,FALSE))</f>
        <v>M</v>
      </c>
      <c r="G48" s="134">
        <f>IF('2b. Opstelling Uit'!$B$35="","",'2b. Opstelling Uit'!$B$35)</f>
        <v>67824</v>
      </c>
      <c r="H48" s="61">
        <f>IF(G48="","",VLOOKUP(G48,Spelers!$A$2:$B$18464,2,FALSE))</f>
        <v>1002</v>
      </c>
      <c r="I48" s="61" t="str">
        <f>IF(G48="","",VLOOKUP(G48,Spelers!$A$2:$E$18464,3,FALSE))</f>
        <v>M. H.</v>
      </c>
      <c r="J48" s="61" t="str">
        <f>IF(G48="","",VLOOKUP(G48,Spelers!$A$2:$E$18464,4,FALSE))</f>
        <v>van Saane</v>
      </c>
      <c r="K48" s="61" t="str">
        <f>IF(G48="","",VLOOKUP(G48,Spelers!$A$2:$E$18464,5,FALSE))</f>
        <v>M</v>
      </c>
      <c r="L48" s="55"/>
      <c r="M48" s="206"/>
      <c r="N48" s="206"/>
      <c r="O48" s="60"/>
      <c r="P48" s="216"/>
      <c r="Q48" s="216"/>
    </row>
    <row r="49" spans="1:17" x14ac:dyDescent="0.2">
      <c r="M49" s="58">
        <f>IF(M47="",0,M47)</f>
        <v>13</v>
      </c>
      <c r="N49" s="58">
        <f>IF(N47="",0,N47)</f>
        <v>0</v>
      </c>
      <c r="O49" s="58" t="str">
        <f>IF(O47="","",O47)</f>
        <v/>
      </c>
      <c r="P49" s="58">
        <f>IF(P47="",0,P47)</f>
        <v>3</v>
      </c>
      <c r="Q49" s="58">
        <f>IF(Q47="",0,Q47)</f>
        <v>0</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45421</v>
      </c>
      <c r="B61" s="61">
        <f>IF(A61="","",VLOOKUP(A61,Spelers!$A$2:$B$17264,2,FALSE))</f>
        <v>8002</v>
      </c>
      <c r="C61" s="61" t="str">
        <f>IF(A61="","",VLOOKUP(A61,Spelers!$A$2:$E$17264,3,FALSE))</f>
        <v>E.</v>
      </c>
      <c r="D61" s="61" t="str">
        <f>IF(A61="","",VLOOKUP(A61,Spelers!$A$2:$E$17264,4,FALSE))</f>
        <v>van der Linden</v>
      </c>
      <c r="E61" s="61" t="str">
        <f>IF(A61="","",VLOOKUP(A61,Spelers!$A$2:$E$17264,5,FALSE))</f>
        <v>V</v>
      </c>
      <c r="G61" s="134">
        <f>IF('2b. Opstelling Uit'!$B$43="","",'2b. Opstelling Uit'!$B$43)</f>
        <v>69252</v>
      </c>
      <c r="H61" s="61">
        <f>IF(G61="","",VLOOKUP(G61,Spelers!$A$2:$B$18464,2,FALSE))</f>
        <v>1002</v>
      </c>
      <c r="I61" s="61" t="str">
        <f>IF(G61="","",VLOOKUP(G61,Spelers!$A$2:$E$18464,3,FALSE))</f>
        <v>Z.R.</v>
      </c>
      <c r="J61" s="61" t="str">
        <f>IF(G61="","",VLOOKUP(G61,Spelers!$A$2:$E$18464,4,FALSE))</f>
        <v>Bult</v>
      </c>
      <c r="K61" s="61" t="str">
        <f>IF(G61="","",VLOOKUP(G61,Spelers!$A$2:$E$18464,5,FALSE))</f>
        <v>V</v>
      </c>
      <c r="L61" s="55"/>
      <c r="M61" s="205">
        <v>7</v>
      </c>
      <c r="N61" s="213">
        <v>13</v>
      </c>
      <c r="O61" s="60"/>
      <c r="P61" s="215">
        <f>IF(M61="","",IF(M61&gt;N61,5,0))</f>
        <v>0</v>
      </c>
      <c r="Q61" s="215">
        <f>IF(N61="","",IF(N61&lt;M61,0,5))</f>
        <v>5</v>
      </c>
    </row>
    <row r="62" spans="1:17" x14ac:dyDescent="0.2">
      <c r="A62" s="134">
        <f>IF('1b. Opstelling Thuis'!$B$44="","",'1b. Opstelling Thuis'!$B$44)</f>
        <v>1340</v>
      </c>
      <c r="B62" s="61">
        <f>IF(A62="","",VLOOKUP(A62,Spelers!$A$2:$B$17264,2,FALSE))</f>
        <v>8002</v>
      </c>
      <c r="C62" s="61" t="str">
        <f>IF(A62="","",VLOOKUP(A62,Spelers!$A$2:$E$17264,3,FALSE))</f>
        <v>E.R.</v>
      </c>
      <c r="D62" s="61" t="str">
        <f>IF(A62="","",VLOOKUP(A62,Spelers!$A$2:$E$17264,4,FALSE))</f>
        <v>Telkamp</v>
      </c>
      <c r="E62" s="61" t="str">
        <f>IF(A62="","",VLOOKUP(A62,Spelers!$A$2:$E$17264,5,FALSE))</f>
        <v>M</v>
      </c>
      <c r="G62" s="134">
        <f>IF('2b. Opstelling Uit'!$B$44="","",'2b. Opstelling Uit'!$B$44)</f>
        <v>67824</v>
      </c>
      <c r="H62" s="61">
        <f>IF(G62="","",VLOOKUP(G62,Spelers!$A$2:$B$18464,2,FALSE))</f>
        <v>1002</v>
      </c>
      <c r="I62" s="61" t="str">
        <f>IF(G62="","",VLOOKUP(G62,Spelers!$A$2:$E$18464,3,FALSE))</f>
        <v>M. H.</v>
      </c>
      <c r="J62" s="61" t="str">
        <f>IF(G62="","",VLOOKUP(G62,Spelers!$A$2:$E$18464,4,FALSE))</f>
        <v>van Saane</v>
      </c>
      <c r="K62" s="61" t="str">
        <f>IF(G62="","",VLOOKUP(G62,Spelers!$A$2:$E$18464,5,FALSE))</f>
        <v>M</v>
      </c>
      <c r="L62" s="55"/>
      <c r="M62" s="217"/>
      <c r="N62" s="218"/>
      <c r="O62" s="60"/>
      <c r="P62" s="219"/>
      <c r="Q62" s="219"/>
    </row>
    <row r="63" spans="1:17" x14ac:dyDescent="0.2">
      <c r="A63" s="134">
        <f>IF('1b. Opstelling Thuis'!$B$45="","",'1b. Opstelling Thuis'!$B$45)</f>
        <v>21469</v>
      </c>
      <c r="B63" s="61">
        <f>IF(A63="","",VLOOKUP(A63,Spelers!$A$2:$B$17264,2,FALSE))</f>
        <v>8002</v>
      </c>
      <c r="C63" s="61" t="str">
        <f>IF(A63="","",VLOOKUP(A63,Spelers!$A$2:$E$17264,3,FALSE))</f>
        <v>D.</v>
      </c>
      <c r="D63" s="61" t="str">
        <f>IF(A63="","",VLOOKUP(A63,Spelers!$A$2:$E$17264,4,FALSE))</f>
        <v>Peterse</v>
      </c>
      <c r="E63" s="61" t="str">
        <f>IF(A63="","",VLOOKUP(A63,Spelers!$A$2:$E$17264,5,FALSE))</f>
        <v>M</v>
      </c>
      <c r="G63" s="134">
        <f>IF('2b. Opstelling Uit'!$B$45="","",'2b. Opstelling Uit'!$B$45)</f>
        <v>58381</v>
      </c>
      <c r="H63" s="61">
        <f>IF(G63="","",VLOOKUP(G63,Spelers!$A$2:$B$18464,2,FALSE))</f>
        <v>1002</v>
      </c>
      <c r="I63" s="61" t="str">
        <f>IF(G63="","",VLOOKUP(G63,Spelers!$A$2:$E$18464,3,FALSE))</f>
        <v>R.</v>
      </c>
      <c r="J63" s="61" t="str">
        <f>IF(G63="","",VLOOKUP(G63,Spelers!$A$2:$E$18464,4,FALSE))</f>
        <v>Moorlag</v>
      </c>
      <c r="K63" s="61" t="str">
        <f>IF(G63="","",VLOOKUP(G63,Spelers!$A$2:$E$18464,5,FALSE))</f>
        <v>M</v>
      </c>
      <c r="L63" s="55"/>
      <c r="M63" s="206"/>
      <c r="N63" s="214"/>
      <c r="O63" s="60"/>
      <c r="P63" s="216"/>
      <c r="Q63" s="216"/>
    </row>
    <row r="64" spans="1:17" x14ac:dyDescent="0.2">
      <c r="M64" s="58">
        <f>IF(M61="",0,M61)</f>
        <v>7</v>
      </c>
      <c r="N64" s="58">
        <f>IF(N61="",0,N61)</f>
        <v>13</v>
      </c>
      <c r="O64" s="58"/>
      <c r="P64" s="58">
        <f>IF(P61="",0,P61)</f>
        <v>0</v>
      </c>
      <c r="Q64" s="58">
        <f>IF(Q61="",0,Q61)</f>
        <v>5</v>
      </c>
    </row>
    <row r="65" spans="1:17" x14ac:dyDescent="0.2">
      <c r="A65" s="62" t="s">
        <v>9936</v>
      </c>
      <c r="B65" s="62"/>
      <c r="E65" s="97">
        <v>7</v>
      </c>
    </row>
    <row r="66" spans="1:17" x14ac:dyDescent="0.2">
      <c r="A66" s="134">
        <f>IF('1b. Opstelling Thuis'!$B$47="","",'1b. Opstelling Thuis'!$B$47)</f>
        <v>27269</v>
      </c>
      <c r="B66" s="61">
        <f>IF(A66="","",VLOOKUP(A66,Spelers!$A$2:$B$17264,2,FALSE))</f>
        <v>8002</v>
      </c>
      <c r="C66" s="61" t="str">
        <f>IF(A66="","",VLOOKUP(A66,Spelers!$A$2:$E$17264,3,FALSE))</f>
        <v>B.</v>
      </c>
      <c r="D66" s="61" t="str">
        <f>IF(A66="","",VLOOKUP(A66,Spelers!$A$2:$E$17264,4,FALSE))</f>
        <v>Velthuijsen</v>
      </c>
      <c r="E66" s="61" t="str">
        <f>IF(A66="","",VLOOKUP(A66,Spelers!$A$2:$E$17264,5,FALSE))</f>
        <v>M</v>
      </c>
      <c r="G66" s="134">
        <f>IF('2b. Opstelling Uit'!$B$47="","",'2b. Opstelling Uit'!$B$47)</f>
        <v>60086</v>
      </c>
      <c r="H66" s="61">
        <f>IF(G66="","",VLOOKUP(G66,Spelers!$A$2:$B$18464,2,FALSE))</f>
        <v>1002</v>
      </c>
      <c r="I66" s="61" t="str">
        <f>IF(G66="","",VLOOKUP(G66,Spelers!$A$2:$E$18464,3,FALSE))</f>
        <v>J.W.</v>
      </c>
      <c r="J66" s="61" t="str">
        <f>IF(G66="","",VLOOKUP(G66,Spelers!$A$2:$E$18464,4,FALSE))</f>
        <v>Huitsing</v>
      </c>
      <c r="K66" s="61" t="str">
        <f>IF(G66="","",VLOOKUP(G66,Spelers!$A$2:$E$18464,5,FALSE))</f>
        <v>M</v>
      </c>
      <c r="L66" s="55"/>
      <c r="M66" s="205">
        <v>13</v>
      </c>
      <c r="N66" s="213">
        <v>12</v>
      </c>
      <c r="O66" s="60"/>
      <c r="P66" s="215">
        <f>IF(M66="","",IF(M66&gt;N66,5,0))</f>
        <v>5</v>
      </c>
      <c r="Q66" s="215">
        <f>IF(N66="","",IF(N66&lt;M66,0,5))</f>
        <v>0</v>
      </c>
    </row>
    <row r="67" spans="1:17" x14ac:dyDescent="0.2">
      <c r="A67" s="134">
        <f>IF('1b. Opstelling Thuis'!$B$48="","",'1b. Opstelling Thuis'!$B$48)</f>
        <v>8139</v>
      </c>
      <c r="B67" s="61">
        <f>IF(A67="","",VLOOKUP(A67,Spelers!$A$2:$B$17264,2,FALSE))</f>
        <v>8002</v>
      </c>
      <c r="C67" s="61" t="str">
        <f>IF(A67="","",VLOOKUP(A67,Spelers!$A$2:$E$17264,3,FALSE))</f>
        <v>K.</v>
      </c>
      <c r="D67" s="61" t="str">
        <f>IF(A67="","",VLOOKUP(A67,Spelers!$A$2:$E$17264,4,FALSE))</f>
        <v>Elyazidi</v>
      </c>
      <c r="E67" s="61" t="str">
        <f>IF(A67="","",VLOOKUP(A67,Spelers!$A$2:$E$17264,5,FALSE))</f>
        <v>M</v>
      </c>
      <c r="G67" s="134">
        <f>IF('2b. Opstelling Uit'!$B$48="","",'2b. Opstelling Uit'!$B$48)</f>
        <v>70166</v>
      </c>
      <c r="H67" s="61">
        <f>IF(G67="","",VLOOKUP(G67,Spelers!$A$2:$B$18464,2,FALSE))</f>
        <v>1002</v>
      </c>
      <c r="I67" s="61" t="str">
        <f>IF(G67="","",VLOOKUP(G67,Spelers!$A$2:$E$18464,3,FALSE))</f>
        <v>K.H.</v>
      </c>
      <c r="J67" s="61" t="str">
        <f>IF(G67="","",VLOOKUP(G67,Spelers!$A$2:$E$18464,4,FALSE))</f>
        <v>Wentink</v>
      </c>
      <c r="K67" s="61" t="str">
        <f>IF(G67="","",VLOOKUP(G67,Spelers!$A$2:$E$18464,5,FALSE))</f>
        <v>M</v>
      </c>
      <c r="L67" s="55"/>
      <c r="M67" s="217"/>
      <c r="N67" s="218"/>
      <c r="O67" s="60"/>
      <c r="P67" s="219"/>
      <c r="Q67" s="219"/>
    </row>
    <row r="68" spans="1:17" x14ac:dyDescent="0.2">
      <c r="A68" s="134">
        <f>IF('1b. Opstelling Thuis'!$B$49="","",'1b. Opstelling Thuis'!$B$49)</f>
        <v>17321</v>
      </c>
      <c r="B68" s="61">
        <f>IF(A68="","",VLOOKUP(A68,Spelers!$A$2:$B$17264,2,FALSE))</f>
        <v>8002</v>
      </c>
      <c r="C68" s="61" t="str">
        <f>IF(A68="","",VLOOKUP(A68,Spelers!$A$2:$E$17264,3,FALSE))</f>
        <v>M.</v>
      </c>
      <c r="D68" s="61" t="str">
        <f>IF(A68="","",VLOOKUP(A68,Spelers!$A$2:$E$17264,4,FALSE))</f>
        <v>Agzoul</v>
      </c>
      <c r="E68" s="61" t="str">
        <f>IF(A68="","",VLOOKUP(A68,Spelers!$A$2:$E$17264,5,FALSE))</f>
        <v>M</v>
      </c>
      <c r="G68" s="134">
        <f>IF('2b. Opstelling Uit'!$B$49="","",'2b. Opstelling Uit'!$B$49)</f>
        <v>49345</v>
      </c>
      <c r="H68" s="61">
        <f>IF(G68="","",VLOOKUP(G68,Spelers!$A$2:$B$18464,2,FALSE))</f>
        <v>1002</v>
      </c>
      <c r="I68" s="61" t="str">
        <f>IF(G68="","",VLOOKUP(G68,Spelers!$A$2:$E$18464,3,FALSE))</f>
        <v>R.</v>
      </c>
      <c r="J68" s="61" t="str">
        <f>IF(G68="","",VLOOKUP(G68,Spelers!$A$2:$E$18464,4,FALSE))</f>
        <v>de Roos de</v>
      </c>
      <c r="K68" s="61" t="str">
        <f>IF(G68="","",VLOOKUP(G68,Spelers!$A$2:$E$18464,5,FALSE))</f>
        <v>M</v>
      </c>
      <c r="L68" s="55"/>
      <c r="M68" s="206"/>
      <c r="N68" s="214"/>
      <c r="O68" s="60"/>
      <c r="P68" s="216"/>
      <c r="Q68" s="216"/>
    </row>
    <row r="69" spans="1:17" x14ac:dyDescent="0.2">
      <c r="M69" s="58">
        <f>IF(M66="",0,M66)</f>
        <v>13</v>
      </c>
      <c r="N69" s="58">
        <f>IF(N66="",0,N66)</f>
        <v>12</v>
      </c>
      <c r="O69" s="58">
        <f>IF(O66="",0,O66)</f>
        <v>0</v>
      </c>
      <c r="P69" s="58">
        <f>IF(P66="",0,P66)</f>
        <v>5</v>
      </c>
      <c r="Q69" s="58">
        <f>IF(Q66="",0,Q66)</f>
        <v>0</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c r="G78" s="113" t="s">
        <v>120</v>
      </c>
      <c r="H78" s="111"/>
      <c r="I78" s="112"/>
      <c r="J78" s="202"/>
      <c r="K78" s="203"/>
      <c r="L78" s="203"/>
      <c r="M78" s="204"/>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0"/>
      <c r="B88" s="191"/>
      <c r="C88" s="191"/>
      <c r="D88" s="191"/>
      <c r="E88" s="192"/>
      <c r="G88" s="190"/>
      <c r="H88" s="191"/>
      <c r="I88" s="191"/>
      <c r="J88" s="191"/>
      <c r="K88" s="192"/>
    </row>
    <row r="89" spans="1:20" x14ac:dyDescent="0.2">
      <c r="A89" s="193"/>
      <c r="B89" s="194"/>
      <c r="C89" s="194"/>
      <c r="D89" s="194"/>
      <c r="E89" s="195"/>
      <c r="G89" s="193"/>
      <c r="H89" s="194"/>
      <c r="I89" s="194"/>
      <c r="J89" s="194"/>
      <c r="K89" s="195"/>
    </row>
    <row r="90" spans="1:20" x14ac:dyDescent="0.2">
      <c r="A90" s="193"/>
      <c r="B90" s="194"/>
      <c r="C90" s="194"/>
      <c r="D90" s="194"/>
      <c r="E90" s="195"/>
      <c r="G90" s="193"/>
      <c r="H90" s="194"/>
      <c r="I90" s="194"/>
      <c r="J90" s="194"/>
      <c r="K90" s="195"/>
    </row>
    <row r="91" spans="1:20" x14ac:dyDescent="0.2">
      <c r="A91" s="196"/>
      <c r="B91" s="197"/>
      <c r="C91" s="197"/>
      <c r="D91" s="197"/>
      <c r="E91" s="198"/>
      <c r="G91" s="196"/>
      <c r="H91" s="197"/>
      <c r="I91" s="197"/>
      <c r="J91" s="197"/>
      <c r="K91" s="198"/>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45421</v>
      </c>
      <c r="C2" s="40" t="str">
        <f>'3. Digitaal wedstrijdformulier'!$D$18</f>
        <v>van der Linden</v>
      </c>
      <c r="D2" s="40" t="str">
        <f>LEFT('3. Digitaal wedstrijdformulier'!$D$7,4)</f>
        <v/>
      </c>
      <c r="E2" s="40">
        <f>'3. Digitaal wedstrijdformulier'!$B$18</f>
        <v>8002</v>
      </c>
    </row>
    <row r="3" spans="1:5" x14ac:dyDescent="0.15">
      <c r="A3" s="40">
        <f>'3. Digitaal wedstrijdformulier'!$J$5</f>
        <v>11</v>
      </c>
      <c r="B3" s="40">
        <f>'3. Digitaal wedstrijdformulier'!$A$21</f>
        <v>27269</v>
      </c>
      <c r="C3" s="40" t="str">
        <f>'3. Digitaal wedstrijdformulier'!$D$21</f>
        <v>Velthuijsen</v>
      </c>
      <c r="D3" s="40" t="str">
        <f>LEFT('3. Digitaal wedstrijdformulier'!$D$7,4)</f>
        <v/>
      </c>
      <c r="E3" s="40">
        <f>'3. Digitaal wedstrijdformulier'!$B$21</f>
        <v>8002</v>
      </c>
    </row>
    <row r="4" spans="1:5" x14ac:dyDescent="0.15">
      <c r="A4" s="40">
        <f>'3. Digitaal wedstrijdformulier'!$J$5</f>
        <v>11</v>
      </c>
      <c r="B4" s="40">
        <f>'3. Digitaal wedstrijdformulier'!$A$24</f>
        <v>8139</v>
      </c>
      <c r="C4" s="40" t="str">
        <f>'3. Digitaal wedstrijdformulier'!$D$24</f>
        <v>Elyazidi</v>
      </c>
      <c r="D4" s="40" t="str">
        <f>LEFT('3. Digitaal wedstrijdformulier'!$D$7,4)</f>
        <v/>
      </c>
      <c r="E4" s="40">
        <f>'3. Digitaal wedstrijdformulier'!$B$24</f>
        <v>8002</v>
      </c>
    </row>
    <row r="5" spans="1:5" x14ac:dyDescent="0.15">
      <c r="A5" s="40">
        <f>'3. Digitaal wedstrijdformulier'!$J$5</f>
        <v>11</v>
      </c>
      <c r="B5" s="40">
        <f>'3. Digitaal wedstrijdformulier'!$A$27</f>
        <v>17321</v>
      </c>
      <c r="C5" s="40" t="str">
        <f>'3. Digitaal wedstrijdformulier'!$D$27</f>
        <v>Agzoul</v>
      </c>
      <c r="D5" s="40" t="str">
        <f>LEFT('3. Digitaal wedstrijdformulier'!$D$7,4)</f>
        <v/>
      </c>
      <c r="E5" s="40">
        <f>'3. Digitaal wedstrijdformulier'!$B$27</f>
        <v>8002</v>
      </c>
    </row>
    <row r="6" spans="1:5" x14ac:dyDescent="0.15">
      <c r="A6" s="40">
        <f>'3. Digitaal wedstrijdformulier'!$J$5</f>
        <v>11</v>
      </c>
      <c r="B6" s="40">
        <f>'3. Digitaal wedstrijdformulier'!$A$30</f>
        <v>1340</v>
      </c>
      <c r="C6" s="40" t="str">
        <f>'3. Digitaal wedstrijdformulier'!$D$30</f>
        <v>Telkamp</v>
      </c>
      <c r="D6" s="40" t="str">
        <f>LEFT('3. Digitaal wedstrijdformulier'!$D$7,4)</f>
        <v/>
      </c>
      <c r="E6" s="40">
        <f>'3. Digitaal wedstrijdformulier'!$B$30</f>
        <v>8002</v>
      </c>
    </row>
    <row r="7" spans="1:5" x14ac:dyDescent="0.15">
      <c r="A7" s="40">
        <f>'3. Digitaal wedstrijdformulier'!$J$5</f>
        <v>11</v>
      </c>
      <c r="B7" s="40">
        <f>'3. Digitaal wedstrijdformulier'!$A$33</f>
        <v>21469</v>
      </c>
      <c r="C7" s="40" t="str">
        <f>'3. Digitaal wedstrijdformulier'!$D$33</f>
        <v>Peterse</v>
      </c>
      <c r="D7" s="40" t="str">
        <f>LEFT('3. Digitaal wedstrijdformulier'!$D$7,4)</f>
        <v/>
      </c>
      <c r="E7" s="40">
        <f>'3. Digitaal wedstrijdformulier'!$B$33</f>
        <v>8002</v>
      </c>
    </row>
    <row r="8" spans="1:5" x14ac:dyDescent="0.15">
      <c r="A8" s="40">
        <f>'3. Digitaal wedstrijdformulier'!$J$5</f>
        <v>11</v>
      </c>
      <c r="B8" s="40">
        <f>'3. Digitaal wedstrijdformulier'!$A$39</f>
        <v>45421</v>
      </c>
      <c r="C8" s="40" t="str">
        <f>'3. Digitaal wedstrijdformulier'!$D$39</f>
        <v>van der Linden</v>
      </c>
      <c r="D8" s="40" t="str">
        <f>LEFT('3. Digitaal wedstrijdformulier'!$D$7,4)</f>
        <v/>
      </c>
      <c r="E8" s="40">
        <f>'3. Digitaal wedstrijdformulier'!$B$39</f>
        <v>8002</v>
      </c>
    </row>
    <row r="9" spans="1:5" x14ac:dyDescent="0.15">
      <c r="A9" s="40">
        <f>'3. Digitaal wedstrijdformulier'!$J$5</f>
        <v>11</v>
      </c>
      <c r="B9" s="40">
        <f>'3. Digitaal wedstrijdformulier'!$A$40</f>
        <v>27269</v>
      </c>
      <c r="C9" s="40" t="str">
        <f>'3. Digitaal wedstrijdformulier'!$D$40</f>
        <v>Velthuijsen</v>
      </c>
      <c r="D9" s="40" t="str">
        <f>LEFT('3. Digitaal wedstrijdformulier'!$D$7,4)</f>
        <v/>
      </c>
      <c r="E9" s="40">
        <f>'3. Digitaal wedstrijdformulier'!$B$39</f>
        <v>8002</v>
      </c>
    </row>
    <row r="10" spans="1:5" x14ac:dyDescent="0.15">
      <c r="A10" s="40">
        <f>'3. Digitaal wedstrijdformulier'!$J$5</f>
        <v>11</v>
      </c>
      <c r="B10" s="40">
        <f>'3. Digitaal wedstrijdformulier'!$A$43</f>
        <v>1340</v>
      </c>
      <c r="C10" s="40" t="str">
        <f>'3. Digitaal wedstrijdformulier'!$D$43</f>
        <v>Telkamp</v>
      </c>
      <c r="D10" s="40" t="str">
        <f>LEFT('3. Digitaal wedstrijdformulier'!$D$7,4)</f>
        <v/>
      </c>
      <c r="E10" s="40">
        <f>'3. Digitaal wedstrijdformulier'!$B$43</f>
        <v>8002</v>
      </c>
    </row>
    <row r="11" spans="1:5" x14ac:dyDescent="0.15">
      <c r="A11" s="40">
        <f>'3. Digitaal wedstrijdformulier'!$J$5</f>
        <v>11</v>
      </c>
      <c r="B11" s="40">
        <f>'3. Digitaal wedstrijdformulier'!$A$44</f>
        <v>8139</v>
      </c>
      <c r="C11" s="40" t="str">
        <f>'3. Digitaal wedstrijdformulier'!$D$44</f>
        <v>Elyazidi</v>
      </c>
      <c r="D11" s="40" t="str">
        <f>LEFT('3. Digitaal wedstrijdformulier'!$D$7,4)</f>
        <v/>
      </c>
      <c r="E11" s="40">
        <f>'3. Digitaal wedstrijdformulier'!$B$44</f>
        <v>8002</v>
      </c>
    </row>
    <row r="12" spans="1:5" x14ac:dyDescent="0.15">
      <c r="A12" s="40">
        <f>'3. Digitaal wedstrijdformulier'!$J$5</f>
        <v>11</v>
      </c>
      <c r="B12" s="40">
        <f>'3. Digitaal wedstrijdformulier'!$A$47</f>
        <v>21469</v>
      </c>
      <c r="C12" s="40" t="str">
        <f>'3. Digitaal wedstrijdformulier'!$D$47</f>
        <v>Peterse</v>
      </c>
      <c r="D12" s="40" t="str">
        <f>LEFT('3. Digitaal wedstrijdformulier'!$D$7,4)</f>
        <v/>
      </c>
      <c r="E12" s="40">
        <f>'3. Digitaal wedstrijdformulier'!$B$47</f>
        <v>8002</v>
      </c>
    </row>
    <row r="13" spans="1:5" x14ac:dyDescent="0.15">
      <c r="A13" s="40">
        <f>'3. Digitaal wedstrijdformulier'!$J$5</f>
        <v>11</v>
      </c>
      <c r="B13" s="40">
        <f>'3. Digitaal wedstrijdformulier'!$A$48</f>
        <v>17321</v>
      </c>
      <c r="C13" s="40" t="str">
        <f>'3. Digitaal wedstrijdformulier'!$D$48</f>
        <v>Agzoul</v>
      </c>
      <c r="D13" s="40" t="str">
        <f>LEFT('3. Digitaal wedstrijdformulier'!$D$7,4)</f>
        <v/>
      </c>
      <c r="E13" s="40">
        <f>'3. Digitaal wedstrijdformulier'!$B$48</f>
        <v>8002</v>
      </c>
    </row>
    <row r="14" spans="1:5" x14ac:dyDescent="0.15">
      <c r="A14" s="40">
        <f>'3. Digitaal wedstrijdformulier'!$J$5</f>
        <v>11</v>
      </c>
      <c r="B14" s="40" t="str">
        <f>IF('3. Digitaal wedstrijdformulier'!B52="","",'3. Digitaal wedstrijdformulier'!$B$52)</f>
        <v/>
      </c>
      <c r="C14" s="40" t="str">
        <f>'3. Digitaal wedstrijdformulier'!$D$52</f>
        <v/>
      </c>
      <c r="D14" s="40" t="str">
        <f>LEFT('3. Digitaal wedstrijdformulier'!$D$7,4)</f>
        <v/>
      </c>
      <c r="E14" s="40" t="str">
        <f>IF(B14="","",VLOOKUP(B14,Spelers!$A$2:$E$15503,2,FALSE))</f>
        <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15">
      <c r="A16" s="40">
        <f>'3. Digitaal wedstrijdformulier'!$J$5</f>
        <v>11</v>
      </c>
      <c r="B16" s="40">
        <f>'3. Digitaal wedstrijdformulier'!$A$61</f>
        <v>45421</v>
      </c>
      <c r="C16" s="40" t="str">
        <f>'3. Digitaal wedstrijdformulier'!$D$61</f>
        <v>van der Linden</v>
      </c>
      <c r="D16" s="40" t="str">
        <f>LEFT('3. Digitaal wedstrijdformulier'!$D$7,4)</f>
        <v/>
      </c>
      <c r="E16" s="40">
        <f>'3. Digitaal wedstrijdformulier'!$B$61</f>
        <v>8002</v>
      </c>
    </row>
    <row r="17" spans="1:5" x14ac:dyDescent="0.15">
      <c r="A17" s="40">
        <f>'3. Digitaal wedstrijdformulier'!$J$5</f>
        <v>11</v>
      </c>
      <c r="B17" s="40">
        <f>'3. Digitaal wedstrijdformulier'!$A$62</f>
        <v>1340</v>
      </c>
      <c r="C17" s="40" t="str">
        <f>'3. Digitaal wedstrijdformulier'!$D$62</f>
        <v>Telkamp</v>
      </c>
      <c r="D17" s="40" t="str">
        <f>LEFT('3. Digitaal wedstrijdformulier'!$D$7,4)</f>
        <v/>
      </c>
      <c r="E17" s="40">
        <f>'3. Digitaal wedstrijdformulier'!$B$62</f>
        <v>8002</v>
      </c>
    </row>
    <row r="18" spans="1:5" x14ac:dyDescent="0.15">
      <c r="A18" s="40">
        <f>'3. Digitaal wedstrijdformulier'!$J$5</f>
        <v>11</v>
      </c>
      <c r="B18" s="40">
        <f>'3. Digitaal wedstrijdformulier'!$A$63</f>
        <v>21469</v>
      </c>
      <c r="C18" s="40" t="str">
        <f>'3. Digitaal wedstrijdformulier'!$D$63</f>
        <v>Peterse</v>
      </c>
      <c r="D18" s="40" t="str">
        <f>LEFT('3. Digitaal wedstrijdformulier'!$D$7,4)</f>
        <v/>
      </c>
      <c r="E18" s="40">
        <f>'3. Digitaal wedstrijdformulier'!$B$63</f>
        <v>8002</v>
      </c>
    </row>
    <row r="19" spans="1:5" x14ac:dyDescent="0.15">
      <c r="A19" s="40">
        <f>'3. Digitaal wedstrijdformulier'!$J$5</f>
        <v>11</v>
      </c>
      <c r="B19" s="40">
        <f>'3. Digitaal wedstrijdformulier'!$A$66</f>
        <v>27269</v>
      </c>
      <c r="C19" s="40" t="str">
        <f>'3. Digitaal wedstrijdformulier'!$D$66</f>
        <v>Velthuijsen</v>
      </c>
      <c r="D19" s="40" t="str">
        <f>LEFT('3. Digitaal wedstrijdformulier'!$D$7,4)</f>
        <v/>
      </c>
      <c r="E19" s="40">
        <f>'3. Digitaal wedstrijdformulier'!$B$66</f>
        <v>8002</v>
      </c>
    </row>
    <row r="20" spans="1:5" x14ac:dyDescent="0.15">
      <c r="A20" s="40">
        <f>'3. Digitaal wedstrijdformulier'!$J$5</f>
        <v>11</v>
      </c>
      <c r="B20" s="40">
        <f>'3. Digitaal wedstrijdformulier'!$A$67</f>
        <v>8139</v>
      </c>
      <c r="C20" s="40" t="str">
        <f>'3. Digitaal wedstrijdformulier'!$D$67</f>
        <v>Elyazidi</v>
      </c>
      <c r="D20" s="40" t="str">
        <f>LEFT('3. Digitaal wedstrijdformulier'!$D$7,4)</f>
        <v/>
      </c>
      <c r="E20" s="40">
        <f>'3. Digitaal wedstrijdformulier'!$B$67</f>
        <v>8002</v>
      </c>
    </row>
    <row r="21" spans="1:5" x14ac:dyDescent="0.15">
      <c r="A21" s="40">
        <f>'3. Digitaal wedstrijdformulier'!$J$5</f>
        <v>11</v>
      </c>
      <c r="B21" s="40">
        <f>'3. Digitaal wedstrijdformulier'!$A$68</f>
        <v>17321</v>
      </c>
      <c r="C21" s="40" t="str">
        <f>'3. Digitaal wedstrijdformulier'!$D$68</f>
        <v>Agzoul</v>
      </c>
      <c r="D21" s="40" t="str">
        <f>LEFT('3. Digitaal wedstrijdformulier'!$D$7,4)</f>
        <v/>
      </c>
      <c r="E21" s="40">
        <f>'3. Digitaal wedstrijdformulier'!$B$68</f>
        <v>8002</v>
      </c>
    </row>
    <row r="22" spans="1:5" x14ac:dyDescent="0.15">
      <c r="A22" s="40">
        <f>'3. Digitaal wedstrijdformulier'!$J$5</f>
        <v>11</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15">
      <c r="A24" s="40">
        <f>'3. Digitaal wedstrijdformulier'!$J$5</f>
        <v>11</v>
      </c>
      <c r="B24" s="40">
        <f>IF('3. Digitaal wedstrijdformulier'!$G$18="","",'3. Digitaal wedstrijdformulier'!$G$18)</f>
        <v>68182</v>
      </c>
      <c r="C24" s="40" t="str">
        <f>'3. Digitaal wedstrijdformulier'!$J$18</f>
        <v>Ris</v>
      </c>
      <c r="D24" s="40" t="str">
        <f>LEFT('3. Digitaal wedstrijdformulier'!$D$7,4)</f>
        <v/>
      </c>
      <c r="E24" s="40">
        <f>'3. Digitaal wedstrijdformulier'!$H$18</f>
        <v>1002</v>
      </c>
    </row>
    <row r="25" spans="1:5" x14ac:dyDescent="0.15">
      <c r="A25" s="40">
        <f>'3. Digitaal wedstrijdformulier'!$J$5</f>
        <v>11</v>
      </c>
      <c r="B25" s="40">
        <f>IF('3. Digitaal wedstrijdformulier'!$G$21="","",'3. Digitaal wedstrijdformulier'!$G$21)</f>
        <v>60086</v>
      </c>
      <c r="C25" s="40" t="str">
        <f>'3. Digitaal wedstrijdformulier'!$J$21</f>
        <v>Huitsing</v>
      </c>
      <c r="D25" s="40" t="str">
        <f>LEFT('3. Digitaal wedstrijdformulier'!$D$7,4)</f>
        <v/>
      </c>
      <c r="E25" s="40">
        <f>'3. Digitaal wedstrijdformulier'!$H$21</f>
        <v>1002</v>
      </c>
    </row>
    <row r="26" spans="1:5" x14ac:dyDescent="0.15">
      <c r="A26" s="40">
        <f>'3. Digitaal wedstrijdformulier'!$J$5</f>
        <v>11</v>
      </c>
      <c r="B26" s="40">
        <f>IF('3. Digitaal wedstrijdformulier'!$G$24="","",'3. Digitaal wedstrijdformulier'!$G$24)</f>
        <v>67824</v>
      </c>
      <c r="C26" s="40" t="str">
        <f>'3. Digitaal wedstrijdformulier'!$J$24</f>
        <v>van Saane</v>
      </c>
      <c r="D26" s="40" t="str">
        <f>LEFT('3. Digitaal wedstrijdformulier'!$D$7,4)</f>
        <v/>
      </c>
      <c r="E26" s="40">
        <f>'3. Digitaal wedstrijdformulier'!$H$24</f>
        <v>1002</v>
      </c>
    </row>
    <row r="27" spans="1:5" x14ac:dyDescent="0.15">
      <c r="A27" s="40">
        <f>'3. Digitaal wedstrijdformulier'!$J$5</f>
        <v>11</v>
      </c>
      <c r="B27" s="40">
        <f>IF('3. Digitaal wedstrijdformulier'!$G$27="","",'3. Digitaal wedstrijdformulier'!$G$27)</f>
        <v>70166</v>
      </c>
      <c r="C27" s="40" t="str">
        <f>'3. Digitaal wedstrijdformulier'!$J$27</f>
        <v>Wentink</v>
      </c>
      <c r="D27" s="40" t="str">
        <f>LEFT('3. Digitaal wedstrijdformulier'!$D$7,4)</f>
        <v/>
      </c>
      <c r="E27" s="40">
        <f>'3. Digitaal wedstrijdformulier'!$H$27</f>
        <v>1002</v>
      </c>
    </row>
    <row r="28" spans="1:5" x14ac:dyDescent="0.15">
      <c r="A28" s="40">
        <f>'3. Digitaal wedstrijdformulier'!$J$5</f>
        <v>11</v>
      </c>
      <c r="B28" s="40">
        <f>IF('3. Digitaal wedstrijdformulier'!$G$30="","",'3. Digitaal wedstrijdformulier'!$G$30)</f>
        <v>49345</v>
      </c>
      <c r="C28" s="40" t="str">
        <f>'3. Digitaal wedstrijdformulier'!$J$30</f>
        <v>de Roos de</v>
      </c>
      <c r="D28" s="40" t="str">
        <f>LEFT('3. Digitaal wedstrijdformulier'!$D$7,4)</f>
        <v/>
      </c>
      <c r="E28" s="40">
        <f>'3. Digitaal wedstrijdformulier'!$H$30</f>
        <v>1002</v>
      </c>
    </row>
    <row r="29" spans="1:5" x14ac:dyDescent="0.15">
      <c r="A29" s="40">
        <f>'3. Digitaal wedstrijdformulier'!$J$5</f>
        <v>11</v>
      </c>
      <c r="B29" s="40">
        <f>IF('3. Digitaal wedstrijdformulier'!$G$33="","",'3. Digitaal wedstrijdformulier'!$G$33)</f>
        <v>21625</v>
      </c>
      <c r="C29" s="40" t="str">
        <f>'3. Digitaal wedstrijdformulier'!$J$33</f>
        <v>Norder</v>
      </c>
      <c r="D29" s="40" t="str">
        <f>LEFT('3. Digitaal wedstrijdformulier'!$D$7,4)</f>
        <v/>
      </c>
      <c r="E29" s="40">
        <f>'3. Digitaal wedstrijdformulier'!$H$33</f>
        <v>1002</v>
      </c>
    </row>
    <row r="30" spans="1:5" x14ac:dyDescent="0.15">
      <c r="A30" s="40">
        <f>'3. Digitaal wedstrijdformulier'!$J$5</f>
        <v>11</v>
      </c>
      <c r="B30" s="40">
        <f>IF('3. Digitaal wedstrijdformulier'!$G$39="","",'3. Digitaal wedstrijdformulier'!$G$39)</f>
        <v>68182</v>
      </c>
      <c r="C30" s="40" t="str">
        <f>'3. Digitaal wedstrijdformulier'!$J$39</f>
        <v>Ris</v>
      </c>
      <c r="D30" s="40" t="str">
        <f>LEFT('3. Digitaal wedstrijdformulier'!$D$7,4)</f>
        <v/>
      </c>
      <c r="E30" s="40">
        <f>'3. Digitaal wedstrijdformulier'!$H$39</f>
        <v>1002</v>
      </c>
    </row>
    <row r="31" spans="1:5" x14ac:dyDescent="0.15">
      <c r="A31" s="40">
        <f>'3. Digitaal wedstrijdformulier'!$J$5</f>
        <v>11</v>
      </c>
      <c r="B31" s="40">
        <f>IF('3. Digitaal wedstrijdformulier'!$G$40="","",'3. Digitaal wedstrijdformulier'!$G$40)</f>
        <v>58381</v>
      </c>
      <c r="C31" s="40" t="str">
        <f>'3. Digitaal wedstrijdformulier'!$J$40</f>
        <v>Moorlag</v>
      </c>
      <c r="D31" s="40" t="str">
        <f>LEFT('3. Digitaal wedstrijdformulier'!$D$7,4)</f>
        <v/>
      </c>
      <c r="E31" s="40">
        <f>'3. Digitaal wedstrijdformulier'!$H$40</f>
        <v>1002</v>
      </c>
    </row>
    <row r="32" spans="1:5" x14ac:dyDescent="0.15">
      <c r="A32" s="40">
        <f>'3. Digitaal wedstrijdformulier'!$J$5</f>
        <v>11</v>
      </c>
      <c r="B32" s="40">
        <f>IF('3. Digitaal wedstrijdformulier'!$G$43="","",'3. Digitaal wedstrijdformulier'!$G$43)</f>
        <v>21625</v>
      </c>
      <c r="C32" s="40" t="str">
        <f>'3. Digitaal wedstrijdformulier'!$J$43</f>
        <v>Norder</v>
      </c>
      <c r="D32" s="40" t="str">
        <f>LEFT('3. Digitaal wedstrijdformulier'!$D$7,4)</f>
        <v/>
      </c>
      <c r="E32" s="40">
        <f>'3. Digitaal wedstrijdformulier'!$H$43</f>
        <v>1002</v>
      </c>
    </row>
    <row r="33" spans="1:5" x14ac:dyDescent="0.15">
      <c r="A33" s="40">
        <f>'3. Digitaal wedstrijdformulier'!$J$5</f>
        <v>11</v>
      </c>
      <c r="B33" s="40">
        <f>IF('3. Digitaal wedstrijdformulier'!$G$44="","",'3. Digitaal wedstrijdformulier'!$G$44)</f>
        <v>49345</v>
      </c>
      <c r="C33" s="40" t="str">
        <f>'3. Digitaal wedstrijdformulier'!$J$44</f>
        <v>de Roos de</v>
      </c>
      <c r="D33" s="40" t="str">
        <f>LEFT('3. Digitaal wedstrijdformulier'!$D$7,4)</f>
        <v/>
      </c>
      <c r="E33" s="40">
        <f>'3. Digitaal wedstrijdformulier'!$H$44</f>
        <v>1002</v>
      </c>
    </row>
    <row r="34" spans="1:5" x14ac:dyDescent="0.15">
      <c r="A34" s="40">
        <f>'3. Digitaal wedstrijdformulier'!$J$5</f>
        <v>11</v>
      </c>
      <c r="B34" s="40">
        <f>IF('3. Digitaal wedstrijdformulier'!$G$47="","",'3. Digitaal wedstrijdformulier'!$G$47)</f>
        <v>60086</v>
      </c>
      <c r="C34" s="40" t="str">
        <f>'3. Digitaal wedstrijdformulier'!$J$47</f>
        <v>Huitsing</v>
      </c>
      <c r="D34" s="40" t="str">
        <f>LEFT('3. Digitaal wedstrijdformulier'!$D$7,4)</f>
        <v/>
      </c>
      <c r="E34" s="40">
        <f>'3. Digitaal wedstrijdformulier'!$H$47</f>
        <v>1002</v>
      </c>
    </row>
    <row r="35" spans="1:5" x14ac:dyDescent="0.15">
      <c r="A35" s="40">
        <f>'3. Digitaal wedstrijdformulier'!$J$5</f>
        <v>11</v>
      </c>
      <c r="B35" s="40">
        <f>IF('3. Digitaal wedstrijdformulier'!$G$48="","",'3. Digitaal wedstrijdformulier'!$G$48)</f>
        <v>67824</v>
      </c>
      <c r="C35" s="40" t="str">
        <f>'3. Digitaal wedstrijdformulier'!$J$48</f>
        <v>van Saane</v>
      </c>
      <c r="D35" s="40" t="str">
        <f>LEFT('3. Digitaal wedstrijdformulier'!$D$7,4)</f>
        <v/>
      </c>
      <c r="E35" s="40">
        <f>'3. Digitaal wedstrijdformulier'!$H$48</f>
        <v>1002</v>
      </c>
    </row>
    <row r="36" spans="1:5" x14ac:dyDescent="0.15">
      <c r="A36" s="40">
        <f>'3. Digitaal wedstrijdformulier'!$J$5</f>
        <v>11</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15">
      <c r="A38" s="40">
        <f>'3. Digitaal wedstrijdformulier'!$J$5</f>
        <v>11</v>
      </c>
      <c r="B38" s="40">
        <f>IF('3. Digitaal wedstrijdformulier'!$G$61="","",'3. Digitaal wedstrijdformulier'!$G$61)</f>
        <v>69252</v>
      </c>
      <c r="C38" s="40" t="str">
        <f>'3. Digitaal wedstrijdformulier'!$J$61</f>
        <v>Bult</v>
      </c>
      <c r="D38" s="40" t="str">
        <f>LEFT('3. Digitaal wedstrijdformulier'!$D$7,4)</f>
        <v/>
      </c>
      <c r="E38" s="40">
        <f>'3. Digitaal wedstrijdformulier'!$H$61</f>
        <v>1002</v>
      </c>
    </row>
    <row r="39" spans="1:5" x14ac:dyDescent="0.15">
      <c r="A39" s="40">
        <f>'3. Digitaal wedstrijdformulier'!$J$5</f>
        <v>11</v>
      </c>
      <c r="B39" s="40">
        <f>IF('3. Digitaal wedstrijdformulier'!$G$62="","",'3. Digitaal wedstrijdformulier'!$G$62)</f>
        <v>67824</v>
      </c>
      <c r="C39" s="40" t="str">
        <f>'3. Digitaal wedstrijdformulier'!$J$62</f>
        <v>van Saane</v>
      </c>
      <c r="D39" s="40" t="str">
        <f>LEFT('3. Digitaal wedstrijdformulier'!$D$7,4)</f>
        <v/>
      </c>
      <c r="E39" s="40">
        <f>'3. Digitaal wedstrijdformulier'!$H$62</f>
        <v>1002</v>
      </c>
    </row>
    <row r="40" spans="1:5" x14ac:dyDescent="0.15">
      <c r="A40" s="40">
        <f>'3. Digitaal wedstrijdformulier'!$J$5</f>
        <v>11</v>
      </c>
      <c r="B40" s="40">
        <f>IF('3. Digitaal wedstrijdformulier'!$G$63="","",'3. Digitaal wedstrijdformulier'!$G$63)</f>
        <v>58381</v>
      </c>
      <c r="C40" s="40" t="str">
        <f>'3. Digitaal wedstrijdformulier'!$J$63</f>
        <v>Moorlag</v>
      </c>
      <c r="D40" s="40" t="str">
        <f>LEFT('3. Digitaal wedstrijdformulier'!$D$7,4)</f>
        <v/>
      </c>
      <c r="E40" s="40">
        <f>'3. Digitaal wedstrijdformulier'!$H$63</f>
        <v>1002</v>
      </c>
    </row>
    <row r="41" spans="1:5" x14ac:dyDescent="0.15">
      <c r="A41" s="40">
        <f>'3. Digitaal wedstrijdformulier'!$J$5</f>
        <v>11</v>
      </c>
      <c r="B41" s="40">
        <f>IF('3. Digitaal wedstrijdformulier'!$G$66="","",'3. Digitaal wedstrijdformulier'!$G$66)</f>
        <v>60086</v>
      </c>
      <c r="C41" s="40" t="str">
        <f>'3. Digitaal wedstrijdformulier'!$J$66</f>
        <v>Huitsing</v>
      </c>
      <c r="D41" s="40" t="str">
        <f>LEFT('3. Digitaal wedstrijdformulier'!$D$7,4)</f>
        <v/>
      </c>
      <c r="E41" s="40">
        <f>'3. Digitaal wedstrijdformulier'!$H$66</f>
        <v>1002</v>
      </c>
    </row>
    <row r="42" spans="1:5" x14ac:dyDescent="0.15">
      <c r="A42" s="40">
        <f>'3. Digitaal wedstrijdformulier'!$J$5</f>
        <v>11</v>
      </c>
      <c r="B42" s="40">
        <f>IF('3. Digitaal wedstrijdformulier'!$G$67="","",'3. Digitaal wedstrijdformulier'!$G$67)</f>
        <v>70166</v>
      </c>
      <c r="C42" s="40" t="str">
        <f>'3. Digitaal wedstrijdformulier'!$J$67</f>
        <v>Wentink</v>
      </c>
      <c r="D42" s="40" t="str">
        <f>LEFT('3. Digitaal wedstrijdformulier'!$D$7,4)</f>
        <v/>
      </c>
      <c r="E42" s="40">
        <f>'3. Digitaal wedstrijdformulier'!$H$67</f>
        <v>1002</v>
      </c>
    </row>
    <row r="43" spans="1:5" x14ac:dyDescent="0.15">
      <c r="A43" s="40">
        <f>'3. Digitaal wedstrijdformulier'!$J$5</f>
        <v>11</v>
      </c>
      <c r="B43" s="40">
        <f>IF('3. Digitaal wedstrijdformulier'!$G$68="","",'3. Digitaal wedstrijdformulier'!$G$68)</f>
        <v>49345</v>
      </c>
      <c r="C43" s="40" t="str">
        <f>'3. Digitaal wedstrijdformulier'!$J$68</f>
        <v>de Roos de</v>
      </c>
      <c r="D43" s="40" t="str">
        <f>LEFT('3. Digitaal wedstrijdformulier'!$D$7,4)</f>
        <v/>
      </c>
      <c r="E43" s="40">
        <f>'3. Digitaal wedstrijdformulier'!$H$68</f>
        <v>1002</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f>(IF('1a. Teamformulier  Thuis'!L17="x",'1a. Teamformulier  Thuis'!$A17,""))</f>
        <v>2</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f>(IF('1a. Teamformulier  Thuis'!M18="x",'1a. Teamformulier  Thuis'!$A18,""))</f>
        <v>3</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f>(IF('1a. Teamformulier  Thuis'!I19="x",'1a. Teamformulier  Thuis'!$A19,""))</f>
        <v>4</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f>(IF('1a. Teamformulier  Thuis'!J20="x",'1a. Teamformulier  Thuis'!$A20,""))</f>
        <v>5</v>
      </c>
      <c r="E8" s="141" t="str">
        <f>(IF('1a. Teamformulier  Thuis'!K20="x",'1a. Teamformulier  Thuis'!$A20,""))</f>
        <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f>(IF('1a. Teamformulier  Thuis'!K21="x",'1a. Teamformulier  Thuis'!$A21,""))</f>
        <v>6</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f>(IF('2a. Teamformulier  Uit'!M18="x",'2a. Teamformulier  Uit'!$A18,""))</f>
        <v>3</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15">
      <c r="A7" s="139" t="s">
        <v>9</v>
      </c>
      <c r="B7" s="141" t="str">
        <f>(IF('2a. Teamformulier  Uit'!H19="x",'2a. Teamformulier  Uit'!$A19,""))</f>
        <v/>
      </c>
      <c r="C7" s="141">
        <f>(IF('2a. Teamformulier  Uit'!I19="x",'2a. Teamformulier  Uit'!$A19,""))</f>
        <v>4</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f>(IF('2a. Teamformulier  Uit'!J20="x",'2a. Teamformulier  Uit'!$A20,""))</f>
        <v>5</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f>(IF('2a. Teamformulier  Uit'!L22="x",'2a. Teamformulier  Uit'!$A22,""))</f>
        <v>7</v>
      </c>
      <c r="G10" s="141" t="str">
        <f>(IF('2a. Teamformulier  Uit'!M22="x",'2a. Teamformulier  Uit'!$A22,""))</f>
        <v/>
      </c>
      <c r="H10" s="141" t="str">
        <f>(IF('2a. Teamformulier  Uit'!N22="x",'2a. Teamformulier  Uit'!$A22,""))</f>
        <v/>
      </c>
      <c r="I10" s="141" t="str">
        <f>(IF('2a. Teamformulier  Uit'!O22="x",'2a. Teamformulier  Uit'!$A22,""))</f>
        <v/>
      </c>
      <c r="J10" s="141">
        <f>(IF('2a. Teamformulier  Uit'!P22="x",'2a. Teamformulier  Uit'!$A22,""))</f>
        <v>7</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f>(IF('2a. Teamformulier  Uit'!O23="x",'2a. Teamformulier  Uit'!$A23,""))</f>
        <v>8</v>
      </c>
      <c r="J11" s="141" t="str">
        <f>(IF('2a. Teamformulier  Uit'!P23="x",'2a. Teamformulier  Uit'!$A23,""))</f>
        <v/>
      </c>
      <c r="K11" s="141" t="str">
        <f>(IF('2a. Teamformulier  Uit'!Q23="x",'2a. Teamformulier  Uit'!$A23,""))</f>
        <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2024-03-02T14:19:59Z</cp:lastPrinted>
  <dcterms:created xsi:type="dcterms:W3CDTF">2011-09-19T06:49:43Z</dcterms:created>
  <dcterms:modified xsi:type="dcterms:W3CDTF">2024-03-02T15:47:59Z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